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3755" windowHeight="7935" tabRatio="659" activeTab="0"/>
  </bookViews>
  <sheets>
    <sheet name="KM_04_11_12" sheetId="1" r:id="rId1"/>
    <sheet name="KM_04_13_14" sheetId="2" r:id="rId2"/>
    <sheet name="Heat 60 m" sheetId="3" r:id="rId3"/>
    <sheet name="Lengde" sheetId="4" r:id="rId4"/>
    <sheet name="Heat 60 - 80 m hekk" sheetId="5" r:id="rId5"/>
  </sheets>
  <definedNames>
    <definedName name="G_60_10">9.25</definedName>
    <definedName name="G_60_11">8.75</definedName>
    <definedName name="G_60_12">8.3</definedName>
    <definedName name="G_60_13">7.95</definedName>
    <definedName name="G_60_14">7.7</definedName>
    <definedName name="G_60_M">31</definedName>
    <definedName name="G_600_10">113</definedName>
    <definedName name="G_600_11">106</definedName>
    <definedName name="G_600_12">100</definedName>
    <definedName name="G_600_13">95</definedName>
    <definedName name="G_600_14">91</definedName>
    <definedName name="G_600_M">2.7</definedName>
    <definedName name="G_800_11">148</definedName>
    <definedName name="G_800_12">140.5</definedName>
    <definedName name="G_800_13">132.5</definedName>
    <definedName name="G_800_14">127</definedName>
    <definedName name="G_800_M">1.8</definedName>
    <definedName name="G_80K_13">840</definedName>
    <definedName name="G_80K_14">838</definedName>
    <definedName name="G_80P_10">850</definedName>
    <definedName name="G_80P_11">820</definedName>
    <definedName name="G_80P_12">796</definedName>
    <definedName name="G_B1_10">50</definedName>
    <definedName name="G_B1_11">60</definedName>
    <definedName name="G_B1_12">68</definedName>
    <definedName name="G_B2_10">40</definedName>
    <definedName name="G_B2_11">48</definedName>
    <definedName name="G_B2_12">54.4</definedName>
    <definedName name="G_H_13">1.61</definedName>
    <definedName name="G_H_14">1.72</definedName>
    <definedName name="G_H_M">7</definedName>
    <definedName name="G_HK_13">9.7</definedName>
    <definedName name="G_HK_14">12.2</definedName>
    <definedName name="G_HK_M">24</definedName>
    <definedName name="G_HK_M13">24</definedName>
    <definedName name="G_HK_M14">18</definedName>
    <definedName name="G_K1_13">13.3</definedName>
    <definedName name="G_K1_14">13.5</definedName>
    <definedName name="G_K2_13">10.64</definedName>
    <definedName name="G_K2_14">10.8</definedName>
    <definedName name="G_Kned">1.2</definedName>
    <definedName name="G_Kopp">0.6</definedName>
    <definedName name="G_Kpluss">0.3</definedName>
    <definedName name="G_L_10">4.1</definedName>
    <definedName name="G_L_11">4.55</definedName>
    <definedName name="G_L_12">4.95</definedName>
    <definedName name="G_L_13">5.35</definedName>
    <definedName name="G_L_14">5.75</definedName>
    <definedName name="G_L_M">2.1</definedName>
    <definedName name="G_ned">0.3</definedName>
    <definedName name="G_opp">0.15</definedName>
    <definedName name="G_pluss">0.08</definedName>
    <definedName name="J_60_10">9.25</definedName>
    <definedName name="J_60_11">8.8</definedName>
    <definedName name="J_60_12">8.55</definedName>
    <definedName name="J_60_13">8.4</definedName>
    <definedName name="J_60_14">8.25</definedName>
    <definedName name="J_60_M">27</definedName>
    <definedName name="J_600_10">118</definedName>
    <definedName name="J_600_11">111</definedName>
    <definedName name="J_600_12">106</definedName>
    <definedName name="J_600_13">103.4</definedName>
    <definedName name="J_600_14">101.6</definedName>
    <definedName name="J_600_M">2.4</definedName>
    <definedName name="J_800_11">155</definedName>
    <definedName name="J_800_12">148</definedName>
    <definedName name="J_800_13">143</definedName>
    <definedName name="J_800_14">140</definedName>
    <definedName name="J_800_M">1.5</definedName>
    <definedName name="J_80K_13">846</definedName>
    <definedName name="J_80K_14">846</definedName>
    <definedName name="J_80P_10">848</definedName>
    <definedName name="J_80P_11">824</definedName>
    <definedName name="J_80P_12">804</definedName>
    <definedName name="J_B1_10">28</definedName>
    <definedName name="J_B1_11">44</definedName>
    <definedName name="J_B1_12">49</definedName>
    <definedName name="J_B2_10">30.4</definedName>
    <definedName name="J_B2_11">35.2</definedName>
    <definedName name="J_B2_12">39.2</definedName>
    <definedName name="J_H_13">1.5</definedName>
    <definedName name="J_H_14">1.56</definedName>
    <definedName name="J_H_M">8</definedName>
    <definedName name="J_HK_13">10</definedName>
    <definedName name="J_HK_14">9.8</definedName>
    <definedName name="J_HK_M">20</definedName>
    <definedName name="j_K1_13">11</definedName>
    <definedName name="j_K1_14">11</definedName>
    <definedName name="j_K2_13">8.8</definedName>
    <definedName name="j_K2_14">8.8</definedName>
    <definedName name="J_Kned">1.4</definedName>
    <definedName name="j_Kopp">0.7</definedName>
    <definedName name="J_Kpluss">0.35</definedName>
    <definedName name="J_L_10">4</definedName>
    <definedName name="J_L_11">4.4</definedName>
    <definedName name="J_L_12">4.7</definedName>
    <definedName name="J_L_13">5</definedName>
    <definedName name="J_L_14">5.2</definedName>
    <definedName name="J_L_M">2.4</definedName>
    <definedName name="J_ned">0.4</definedName>
    <definedName name="J_opp">0.2</definedName>
    <definedName name="J_pluss">0.1</definedName>
    <definedName name="_xlnm.Print_Area" localSheetId="0">'KM_04_11_12'!$A$1:$M$77</definedName>
    <definedName name="_xlnm.Print_Area" localSheetId="1">'KM_04_13_14'!$A$1:$Q$43</definedName>
    <definedName name="_xlnm.Print_Titles" localSheetId="4">'Heat 60 - 80 m hekk'!$1:$1</definedName>
    <definedName name="_xlnm.Print_Titles" localSheetId="2">'Heat 60 m'!$1:$1</definedName>
    <definedName name="_xlnm.Print_Titles" localSheetId="0">'KM_04_11_12'!$1:$3</definedName>
    <definedName name="_xlnm.Print_Titles" localSheetId="3">'Lengde'!$1:$1</definedName>
  </definedNames>
  <calcPr fullCalcOnLoad="1"/>
</workbook>
</file>

<file path=xl/sharedStrings.xml><?xml version="1.0" encoding="utf-8"?>
<sst xmlns="http://schemas.openxmlformats.org/spreadsheetml/2006/main" count="793" uniqueCount="245">
  <si>
    <t>60m</t>
  </si>
  <si>
    <t>Lengde</t>
  </si>
  <si>
    <t>Høyde</t>
  </si>
  <si>
    <t>600m</t>
  </si>
  <si>
    <t xml:space="preserve"> </t>
  </si>
  <si>
    <t>KM Mangekamp G/J 13 - 14 år, Lambertseterbanen 18.-19.5.2005</t>
  </si>
  <si>
    <t>Arr.: Bækkelagets sportsklub</t>
  </si>
  <si>
    <t>Kule (2kg)</t>
  </si>
  <si>
    <t>60HK (68.0)</t>
  </si>
  <si>
    <t>6 kamp</t>
  </si>
  <si>
    <t>Jenter f 1992 (13 år)</t>
  </si>
  <si>
    <t>KMO</t>
  </si>
  <si>
    <t>Hennie Heiss-Schøyen</t>
  </si>
  <si>
    <t>IL i BUL</t>
  </si>
  <si>
    <t>1,55,8</t>
  </si>
  <si>
    <t>Marianne Hauger</t>
  </si>
  <si>
    <t>1,56,7</t>
  </si>
  <si>
    <t>KMA</t>
  </si>
  <si>
    <t>Malin Pettersen</t>
  </si>
  <si>
    <t>IL Tyrving</t>
  </si>
  <si>
    <t>1,58,6</t>
  </si>
  <si>
    <t>Ida Høgstad</t>
  </si>
  <si>
    <t>Minerva</t>
  </si>
  <si>
    <t>2,12,6</t>
  </si>
  <si>
    <t>Julie Eriksen Kitel</t>
  </si>
  <si>
    <t>Lambertseter IF</t>
  </si>
  <si>
    <t>2,11,6</t>
  </si>
  <si>
    <t>DNF</t>
  </si>
  <si>
    <t>Ingeborg Løvsnes</t>
  </si>
  <si>
    <t>DNS</t>
  </si>
  <si>
    <t>Kule (3kg)</t>
  </si>
  <si>
    <t>60HK (76,2)</t>
  </si>
  <si>
    <t>Jenter f 1991 (14 år)</t>
  </si>
  <si>
    <t>Kine Aaltvedt</t>
  </si>
  <si>
    <t>1,53,1</t>
  </si>
  <si>
    <t>Linn H. Bakke</t>
  </si>
  <si>
    <t>Ullensaker/Kisa IL</t>
  </si>
  <si>
    <t>1,58,3</t>
  </si>
  <si>
    <t>Helene Hoven</t>
  </si>
  <si>
    <t>IF Hellas</t>
  </si>
  <si>
    <t>1,56,4</t>
  </si>
  <si>
    <t>Nina Taugbøl</t>
  </si>
  <si>
    <t>IK Tjalve</t>
  </si>
  <si>
    <t>1,50,4</t>
  </si>
  <si>
    <t>Ingvild Aasen</t>
  </si>
  <si>
    <t>1,55,2</t>
  </si>
  <si>
    <t>Rebecca Rootwelt</t>
  </si>
  <si>
    <t>Bækkelagets spkl</t>
  </si>
  <si>
    <t>Kari Hurum</t>
  </si>
  <si>
    <t>IL Koll</t>
  </si>
  <si>
    <t>Gine Kronberg</t>
  </si>
  <si>
    <t>1,54,6</t>
  </si>
  <si>
    <t>Caroline Rootwelt</t>
  </si>
  <si>
    <t>2,10,9</t>
  </si>
  <si>
    <t>Alexandra Campell Grønnerød</t>
  </si>
  <si>
    <t xml:space="preserve">Malin Storvik </t>
  </si>
  <si>
    <t>Gutter f 1992 (13 år)</t>
  </si>
  <si>
    <t>Christer Amundsen</t>
  </si>
  <si>
    <t>John Hoffmann</t>
  </si>
  <si>
    <t>2,01,0</t>
  </si>
  <si>
    <t>Magnus Eide Gotfredsen</t>
  </si>
  <si>
    <t>1,58,7</t>
  </si>
  <si>
    <t>Kule (4kg)</t>
  </si>
  <si>
    <t>80HK (84.0)</t>
  </si>
  <si>
    <t>Gutter f 1991 (14 år)</t>
  </si>
  <si>
    <t xml:space="preserve">                                     </t>
  </si>
  <si>
    <t>Jonathan Joo</t>
  </si>
  <si>
    <t>1,53,5</t>
  </si>
  <si>
    <t>Sondre Wikshåland</t>
  </si>
  <si>
    <t>1,40,8</t>
  </si>
  <si>
    <t>Lars Kåsine Eriksrud</t>
  </si>
  <si>
    <t>Lambertseter</t>
  </si>
  <si>
    <t>1,48,2</t>
  </si>
  <si>
    <t>Martin Ringdal</t>
  </si>
  <si>
    <t>1,54,2</t>
  </si>
  <si>
    <t>KM Mangekamp G/J 10 - 12 år, Lambertseterbanen 18.5.2005</t>
  </si>
  <si>
    <t>Liten ball (80g)</t>
  </si>
  <si>
    <t>4-kamp</t>
  </si>
  <si>
    <t>Jenter f 1995 (10 år)</t>
  </si>
  <si>
    <t>Lina Marie Campell Grønnerød</t>
  </si>
  <si>
    <t>2,07,8</t>
  </si>
  <si>
    <t>Eira B. Hammeren</t>
  </si>
  <si>
    <t>2,19,9</t>
  </si>
  <si>
    <t xml:space="preserve">Tiril Fjell </t>
  </si>
  <si>
    <t>2,24,2</t>
  </si>
  <si>
    <t>Pernille Skarpenes</t>
  </si>
  <si>
    <t>2,21,5</t>
  </si>
  <si>
    <t>Stine Solvang</t>
  </si>
  <si>
    <t>Bjørndal</t>
  </si>
  <si>
    <t>2,26,5</t>
  </si>
  <si>
    <t>Åse M Lømo</t>
  </si>
  <si>
    <t>2,26,6</t>
  </si>
  <si>
    <t>Martine Adolfsen</t>
  </si>
  <si>
    <t>2,32,8</t>
  </si>
  <si>
    <t>Elisabeth G. Grønn</t>
  </si>
  <si>
    <t>2,37,1</t>
  </si>
  <si>
    <t>Jenter f 1994 (11 år)</t>
  </si>
  <si>
    <t>Amalie Iuel</t>
  </si>
  <si>
    <t>2,07,0</t>
  </si>
  <si>
    <t>Julie Farseth Berg</t>
  </si>
  <si>
    <t>2,10,1</t>
  </si>
  <si>
    <t>Tora Spangen Normann</t>
  </si>
  <si>
    <t>2,16,0</t>
  </si>
  <si>
    <t>Kristin Skolt</t>
  </si>
  <si>
    <t>2,07,4</t>
  </si>
  <si>
    <t>Malene Tveit</t>
  </si>
  <si>
    <t>Asker SK friidrett</t>
  </si>
  <si>
    <t>2,13,0</t>
  </si>
  <si>
    <t>Synne Lndemark</t>
  </si>
  <si>
    <t>2,15,8</t>
  </si>
  <si>
    <t>Ida Kronborg Øxnevad</t>
  </si>
  <si>
    <t>2,15,1</t>
  </si>
  <si>
    <t>Martine Nilsen</t>
  </si>
  <si>
    <t>Nittedal IL</t>
  </si>
  <si>
    <t>2,15,0</t>
  </si>
  <si>
    <t>Hedvig Åstebøl</t>
  </si>
  <si>
    <t>2,16,2</t>
  </si>
  <si>
    <t>Rebecca Karlsson</t>
  </si>
  <si>
    <t>2,31,7</t>
  </si>
  <si>
    <t>Jenter f 1993 (12 år)</t>
  </si>
  <si>
    <t>Karoline Johannesen</t>
  </si>
  <si>
    <t>2,06,2</t>
  </si>
  <si>
    <t>Maiken Skoie Brustad</t>
  </si>
  <si>
    <t>2,01,2</t>
  </si>
  <si>
    <t>Ingeborg Røe</t>
  </si>
  <si>
    <t>1,56,8</t>
  </si>
  <si>
    <t>Abby Brobakken</t>
  </si>
  <si>
    <t>2,03,4</t>
  </si>
  <si>
    <t>Amalie Brobakken</t>
  </si>
  <si>
    <t>2,04,7</t>
  </si>
  <si>
    <t>Ester Kate Jansson</t>
  </si>
  <si>
    <t>Kristina Kristianslund</t>
  </si>
  <si>
    <t>2,24,8</t>
  </si>
  <si>
    <t>Susanne Rootwelt</t>
  </si>
  <si>
    <t>Mari Engebakken Kvam</t>
  </si>
  <si>
    <t>2,23,3</t>
  </si>
  <si>
    <t>Hilde Lillemehlum</t>
  </si>
  <si>
    <t>2,49,0</t>
  </si>
  <si>
    <t>Julie Solvang</t>
  </si>
  <si>
    <t>2,25,7</t>
  </si>
  <si>
    <t>Hedda Helle Kalland</t>
  </si>
  <si>
    <t>2,24,0</t>
  </si>
  <si>
    <t>Mari Wikshåland</t>
  </si>
  <si>
    <t>2,30,1</t>
  </si>
  <si>
    <t>Rebecca Lund Nakkim</t>
  </si>
  <si>
    <t>Gutter f 1995 (10 år)</t>
  </si>
  <si>
    <t>Ola Sandvær Aamodt</t>
  </si>
  <si>
    <t>2,10,7</t>
  </si>
  <si>
    <t>Thomas Løland</t>
  </si>
  <si>
    <t>Kristoffer Hoven</t>
  </si>
  <si>
    <t>2,06,5</t>
  </si>
  <si>
    <t>Jens Krogh Halvorsen</t>
  </si>
  <si>
    <t>Andreas F T Gjesdal</t>
  </si>
  <si>
    <t>2,07,7</t>
  </si>
  <si>
    <t>Kristoffer Adolfsen</t>
  </si>
  <si>
    <t>2,09,2</t>
  </si>
  <si>
    <t>Håkon Ringdal</t>
  </si>
  <si>
    <t>2,27,9</t>
  </si>
  <si>
    <t>Mikkel Tefre Lunder</t>
  </si>
  <si>
    <t>Tyrving</t>
  </si>
  <si>
    <t>Gutter f 1994 (11 år)</t>
  </si>
  <si>
    <t>Nicolas Edgren</t>
  </si>
  <si>
    <t>2,01,4</t>
  </si>
  <si>
    <t>Jørgen Strender</t>
  </si>
  <si>
    <t>2,05,1</t>
  </si>
  <si>
    <t>Nicolai Tefre Lunder</t>
  </si>
  <si>
    <t>2,02,0</t>
  </si>
  <si>
    <t>Anders Moe</t>
  </si>
  <si>
    <t>2,14,1</t>
  </si>
  <si>
    <t>Petter Hurum</t>
  </si>
  <si>
    <t>2,07,2</t>
  </si>
  <si>
    <t>Alexander Semb</t>
  </si>
  <si>
    <t>2,18,1</t>
  </si>
  <si>
    <t>Sigurd Arntzen</t>
  </si>
  <si>
    <t>2,05,8</t>
  </si>
  <si>
    <t>Rasmus Stene</t>
  </si>
  <si>
    <t>2,30,6</t>
  </si>
  <si>
    <t>Marius Ihle Arnesen</t>
  </si>
  <si>
    <t>2,32,9</t>
  </si>
  <si>
    <t>Jon Breivik Smebye</t>
  </si>
  <si>
    <t>2,09,7</t>
  </si>
  <si>
    <t>Martin Festøy</t>
  </si>
  <si>
    <t>2,14,0</t>
  </si>
  <si>
    <t>Axel Tidemann</t>
  </si>
  <si>
    <t>2,15,4</t>
  </si>
  <si>
    <t>Tor Henrik Bolstad</t>
  </si>
  <si>
    <t>2,27,1</t>
  </si>
  <si>
    <t>Gutter f 1993 (12 år)</t>
  </si>
  <si>
    <t>Torjus Halden</t>
  </si>
  <si>
    <t>Magnus Myre Solheim</t>
  </si>
  <si>
    <t>1,56,1</t>
  </si>
  <si>
    <t>Eivind Lenschow</t>
  </si>
  <si>
    <t>2,05,5</t>
  </si>
  <si>
    <t>Eivind Drabløs</t>
  </si>
  <si>
    <t>1,57,2</t>
  </si>
  <si>
    <t>Markus Blaker</t>
  </si>
  <si>
    <t>Gard Flydal Rogermoen</t>
  </si>
  <si>
    <t>2,21,2</t>
  </si>
  <si>
    <t>Håkon Berg</t>
  </si>
  <si>
    <t>3,27,3</t>
  </si>
  <si>
    <t xml:space="preserve">NB ! De manuelle tider på 60m er tillagt 0,2 sek iht bestemmelsene i Tyrvingtabellen. </t>
  </si>
  <si>
    <t xml:space="preserve">NB ! De manuelle tider på 60m og 60m hekk er tillagt 0,2 sek iht bestemmelsene i Tyrvingtabellen. </t>
  </si>
  <si>
    <t>Resultater</t>
  </si>
  <si>
    <t>60 m</t>
  </si>
  <si>
    <t>J10</t>
  </si>
  <si>
    <t>1. heat</t>
  </si>
  <si>
    <t>vind +1,6</t>
  </si>
  <si>
    <t>Bjørndal IF</t>
  </si>
  <si>
    <t>2.heat</t>
  </si>
  <si>
    <t>vind +2,1</t>
  </si>
  <si>
    <t>J11</t>
  </si>
  <si>
    <t>vind +2,4</t>
  </si>
  <si>
    <t>vind +1,9</t>
  </si>
  <si>
    <t>J12</t>
  </si>
  <si>
    <t>vind +1,4</t>
  </si>
  <si>
    <t>3.heat</t>
  </si>
  <si>
    <t>J13</t>
  </si>
  <si>
    <t>vind +1,7</t>
  </si>
  <si>
    <t>J14</t>
  </si>
  <si>
    <t>vind +1,1</t>
  </si>
  <si>
    <t>vind +0,0</t>
  </si>
  <si>
    <t>G10</t>
  </si>
  <si>
    <t>vind +0,6</t>
  </si>
  <si>
    <t>G11</t>
  </si>
  <si>
    <t>vind - 0,5</t>
  </si>
  <si>
    <t>vind +0,4</t>
  </si>
  <si>
    <t>Gard Flydal Rogermoen (12 år)</t>
  </si>
  <si>
    <t>vind +0,7</t>
  </si>
  <si>
    <t>G12</t>
  </si>
  <si>
    <t>vind +1,2</t>
  </si>
  <si>
    <t>G13</t>
  </si>
  <si>
    <t>G14</t>
  </si>
  <si>
    <t>vind +0,5</t>
  </si>
  <si>
    <t>vind</t>
  </si>
  <si>
    <t>godkjent 4,02 (+0,64)</t>
  </si>
  <si>
    <t>Bane</t>
  </si>
  <si>
    <t>60 m hekk (68,0)</t>
  </si>
  <si>
    <t xml:space="preserve">vind +0,4 </t>
  </si>
  <si>
    <t>60 m hekk (76,2)</t>
  </si>
  <si>
    <t>1.heat</t>
  </si>
  <si>
    <t>vind +0,8</t>
  </si>
  <si>
    <t>2. heat</t>
  </si>
  <si>
    <t>vind +0,9</t>
  </si>
  <si>
    <t xml:space="preserve">vind +1,6 </t>
  </si>
  <si>
    <t>80 m hekk (84,0)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</si>
</sst>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0%"/>
    <numFmt numFmtId="177" formatCode="0.00%"/>
    <numFmt numFmtId="178" formatCode="#\ ?/?"/>
    <numFmt numFmtId="179" formatCode="#\ ??/??"/>
    <numFmt numFmtId="180" formatCode="d\.m\.yy"/>
    <numFmt numFmtId="181" formatCode="d\.mmm\.yy"/>
    <numFmt numFmtId="182" formatCode="d\.mmm"/>
    <numFmt numFmtId="183" formatCode="mmm\.yy"/>
    <numFmt numFmtId="184" formatCode="h:mm"/>
    <numFmt numFmtId="185" formatCode="h:mm:ss"/>
    <numFmt numFmtId="186" formatCode="d\.m\.yy\ h:mm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"/>
    <numFmt numFmtId="194" formatCode="&quot;Ja&quot;;&quot;Ja&quot;;&quot;Nei&quot;"/>
    <numFmt numFmtId="195" formatCode="&quot;Sann&quot;;&quot;Sann&quot;;&quot;Usann&quot;"/>
    <numFmt numFmtId="196" formatCode="&quot;På&quot;;&quot;På&quot;;&quot;Av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1"/>
      <color indexed="12"/>
      <name val="Helv"/>
      <family val="0"/>
    </font>
    <font>
      <sz val="11"/>
      <name val="Helv"/>
      <family val="0"/>
    </font>
    <font>
      <b/>
      <sz val="16"/>
      <name val="Helv"/>
      <family val="0"/>
    </font>
    <font>
      <b/>
      <sz val="11"/>
      <color indexed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tted"/>
      <right style="dotted"/>
      <top style="dotted"/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17" applyFont="1" applyAlignment="1">
      <alignment/>
      <protection/>
    </xf>
    <xf numFmtId="193" fontId="6" fillId="0" borderId="0" xfId="17" applyNumberFormat="1" applyFont="1" applyProtection="1">
      <alignment/>
      <protection locked="0"/>
    </xf>
    <xf numFmtId="0" fontId="7" fillId="0" borderId="0" xfId="17" applyFont="1">
      <alignment/>
      <protection/>
    </xf>
    <xf numFmtId="0" fontId="6" fillId="0" borderId="0" xfId="17" applyAlignment="1">
      <alignment/>
      <protection/>
    </xf>
    <xf numFmtId="0" fontId="6" fillId="0" borderId="0" xfId="17">
      <alignment/>
      <protection/>
    </xf>
    <xf numFmtId="2" fontId="6" fillId="0" borderId="0" xfId="17" applyNumberFormat="1" applyAlignment="1">
      <alignment/>
      <protection/>
    </xf>
    <xf numFmtId="2" fontId="6" fillId="0" borderId="0" xfId="17" applyNumberFormat="1">
      <alignment/>
      <protection/>
    </xf>
    <xf numFmtId="0" fontId="8" fillId="0" borderId="0" xfId="17" applyFont="1">
      <alignment/>
      <protection/>
    </xf>
    <xf numFmtId="0" fontId="6" fillId="0" borderId="0" xfId="17" applyFont="1" applyAlignment="1">
      <alignment horizontal="right"/>
      <protection/>
    </xf>
    <xf numFmtId="193" fontId="6" fillId="0" borderId="0" xfId="17" applyNumberFormat="1">
      <alignment/>
      <protection/>
    </xf>
    <xf numFmtId="0" fontId="6" fillId="0" borderId="0" xfId="17" applyFont="1">
      <alignment/>
      <protection/>
    </xf>
    <xf numFmtId="0" fontId="6" fillId="0" borderId="0" xfId="17" applyFont="1" applyAlignment="1">
      <alignment/>
      <protection/>
    </xf>
    <xf numFmtId="0" fontId="10" fillId="0" borderId="0" xfId="17" applyFont="1" applyAlignment="1">
      <alignment/>
      <protection/>
    </xf>
    <xf numFmtId="0" fontId="11" fillId="0" borderId="0" xfId="17" applyFont="1">
      <alignment/>
      <protection/>
    </xf>
    <xf numFmtId="0" fontId="12" fillId="0" borderId="0" xfId="17" applyFont="1" applyAlignment="1">
      <alignment horizontal="left"/>
      <protection/>
    </xf>
    <xf numFmtId="2" fontId="6" fillId="0" borderId="0" xfId="17" applyNumberFormat="1" applyAlignment="1">
      <alignment horizontal="centerContinuous"/>
      <protection/>
    </xf>
    <xf numFmtId="0" fontId="7" fillId="0" borderId="0" xfId="17" applyFont="1" applyAlignment="1">
      <alignment horizontal="centerContinuous"/>
      <protection/>
    </xf>
    <xf numFmtId="2" fontId="6" fillId="0" borderId="0" xfId="17" applyNumberFormat="1" applyFont="1" applyAlignment="1">
      <alignment horizontal="centerContinuous"/>
      <protection/>
    </xf>
    <xf numFmtId="0" fontId="9" fillId="0" borderId="0" xfId="17" applyFont="1" applyAlignment="1">
      <alignment horizontal="centerContinuous"/>
      <protection/>
    </xf>
    <xf numFmtId="0" fontId="6" fillId="0" borderId="0" xfId="17" applyFont="1" applyAlignment="1">
      <alignment horizontal="centerContinuous"/>
      <protection/>
    </xf>
    <xf numFmtId="193" fontId="6" fillId="0" borderId="0" xfId="17" applyNumberFormat="1" applyAlignment="1">
      <alignment horizontal="centerContinuous"/>
      <protection/>
    </xf>
    <xf numFmtId="0" fontId="7" fillId="0" borderId="0" xfId="17" applyFont="1" applyAlignment="1" applyProtection="1">
      <alignment horizontal="centerContinuous"/>
      <protection/>
    </xf>
    <xf numFmtId="0" fontId="11" fillId="0" borderId="0" xfId="17" applyFont="1" applyAlignment="1">
      <alignment horizontal="right"/>
      <protection/>
    </xf>
    <xf numFmtId="0" fontId="7" fillId="0" borderId="0" xfId="17" applyFont="1" applyProtection="1">
      <alignment/>
      <protection/>
    </xf>
    <xf numFmtId="0" fontId="7" fillId="0" borderId="0" xfId="17" applyFont="1" applyAlignment="1" applyProtection="1">
      <alignment/>
      <protection/>
    </xf>
    <xf numFmtId="2" fontId="7" fillId="0" borderId="0" xfId="17" applyNumberFormat="1" applyFont="1" applyAlignment="1" applyProtection="1">
      <alignment/>
      <protection/>
    </xf>
    <xf numFmtId="2" fontId="7" fillId="0" borderId="0" xfId="17" applyNumberFormat="1" applyFont="1" applyProtection="1">
      <alignment/>
      <protection/>
    </xf>
    <xf numFmtId="0" fontId="8" fillId="0" borderId="0" xfId="17" applyFont="1" applyProtection="1">
      <alignment/>
      <protection/>
    </xf>
    <xf numFmtId="0" fontId="7" fillId="0" borderId="0" xfId="17" applyFont="1" applyAlignment="1" applyProtection="1">
      <alignment horizontal="right"/>
      <protection/>
    </xf>
    <xf numFmtId="193" fontId="7" fillId="0" borderId="0" xfId="17" applyNumberFormat="1" applyFont="1" applyProtection="1">
      <alignment/>
      <protection/>
    </xf>
    <xf numFmtId="1" fontId="11" fillId="0" borderId="0" xfId="17" applyNumberFormat="1" applyFont="1" applyProtection="1">
      <alignment/>
      <protection/>
    </xf>
    <xf numFmtId="0" fontId="6" fillId="0" borderId="0" xfId="17" applyFont="1" applyAlignment="1" applyProtection="1">
      <alignment horizontal="center"/>
      <protection locked="0"/>
    </xf>
    <xf numFmtId="2" fontId="6" fillId="0" borderId="0" xfId="17" applyNumberFormat="1" applyFont="1" applyAlignment="1" applyProtection="1">
      <alignment/>
      <protection locked="0"/>
    </xf>
    <xf numFmtId="1" fontId="7" fillId="0" borderId="0" xfId="17" applyNumberFormat="1" applyFont="1" applyAlignment="1">
      <alignment/>
      <protection/>
    </xf>
    <xf numFmtId="1" fontId="8" fillId="0" borderId="0" xfId="17" applyNumberFormat="1" applyFont="1">
      <alignment/>
      <protection/>
    </xf>
    <xf numFmtId="2" fontId="9" fillId="0" borderId="0" xfId="17" applyNumberFormat="1" applyFont="1">
      <alignment/>
      <protection/>
    </xf>
    <xf numFmtId="0" fontId="6" fillId="0" borderId="0" xfId="17" applyFont="1" applyAlignment="1" applyProtection="1">
      <alignment horizontal="right"/>
      <protection locked="0"/>
    </xf>
    <xf numFmtId="1" fontId="7" fillId="0" borderId="0" xfId="17" applyNumberFormat="1" applyFont="1" applyProtection="1">
      <alignment/>
      <protection/>
    </xf>
    <xf numFmtId="1" fontId="11" fillId="0" borderId="0" xfId="17" applyNumberFormat="1" applyFo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17" applyFont="1" applyAlignment="1" applyProtection="1">
      <alignment/>
      <protection locked="0"/>
    </xf>
    <xf numFmtId="0" fontId="7" fillId="0" borderId="0" xfId="17" applyFont="1" applyAlignment="1" applyProtection="1">
      <alignment/>
      <protection locked="0"/>
    </xf>
    <xf numFmtId="0" fontId="7" fillId="0" borderId="0" xfId="17" applyFont="1" applyProtection="1">
      <alignment/>
      <protection locked="0"/>
    </xf>
    <xf numFmtId="2" fontId="7" fillId="0" borderId="0" xfId="17" applyNumberFormat="1" applyFont="1" applyAlignment="1" applyProtection="1">
      <alignment/>
      <protection locked="0"/>
    </xf>
    <xf numFmtId="1" fontId="7" fillId="0" borderId="0" xfId="17" applyNumberFormat="1" applyFont="1" applyAlignment="1" applyProtection="1">
      <alignment/>
      <protection/>
    </xf>
    <xf numFmtId="1" fontId="8" fillId="0" borderId="0" xfId="17" applyNumberFormat="1" applyFont="1" applyProtection="1">
      <alignment/>
      <protection/>
    </xf>
    <xf numFmtId="2" fontId="9" fillId="0" borderId="0" xfId="17" applyNumberFormat="1" applyFont="1" applyProtection="1">
      <alignment/>
      <protection/>
    </xf>
    <xf numFmtId="0" fontId="7" fillId="0" borderId="0" xfId="17" applyFont="1" applyAlignment="1" applyProtection="1">
      <alignment horizontal="right"/>
      <protection locked="0"/>
    </xf>
    <xf numFmtId="193" fontId="7" fillId="0" borderId="0" xfId="17" applyNumberFormat="1" applyFo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17" applyNumberFormat="1" applyFont="1" applyAlignment="1" applyProtection="1">
      <alignment horizontal="right"/>
      <protection locked="0"/>
    </xf>
    <xf numFmtId="0" fontId="6" fillId="0" borderId="0" xfId="17" applyProtection="1">
      <alignment/>
      <protection locked="0"/>
    </xf>
    <xf numFmtId="2" fontId="6" fillId="0" borderId="0" xfId="17" applyNumberFormat="1" applyFont="1" applyAlignment="1" applyProtection="1">
      <alignment/>
      <protection/>
    </xf>
    <xf numFmtId="0" fontId="6" fillId="0" borderId="0" xfId="17" applyFont="1" applyProtection="1">
      <alignment/>
      <protection locked="0"/>
    </xf>
    <xf numFmtId="193" fontId="6" fillId="0" borderId="0" xfId="17" applyNumberFormat="1" applyFont="1" applyAlignment="1" applyProtection="1">
      <alignment/>
      <protection/>
    </xf>
    <xf numFmtId="2" fontId="6" fillId="0" borderId="0" xfId="17" applyNumberFormat="1" applyFont="1" applyProtection="1">
      <alignment/>
      <protection locked="0"/>
    </xf>
    <xf numFmtId="14" fontId="6" fillId="0" borderId="0" xfId="17" applyNumberFormat="1" applyFont="1" applyAlignment="1" applyProtection="1">
      <alignment horizontal="right"/>
      <protection locked="0"/>
    </xf>
    <xf numFmtId="2" fontId="7" fillId="0" borderId="0" xfId="17" applyNumberFormat="1" applyFont="1" applyProtection="1">
      <alignment/>
      <protection locked="0"/>
    </xf>
    <xf numFmtId="0" fontId="6" fillId="0" borderId="0" xfId="17" applyAlignment="1">
      <alignment horizontal="center"/>
      <protection/>
    </xf>
    <xf numFmtId="2" fontId="6" fillId="0" borderId="0" xfId="17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193" fontId="6" fillId="0" borderId="0" xfId="17" applyNumberFormat="1" applyAlignment="1">
      <alignment/>
      <protection/>
    </xf>
    <xf numFmtId="193" fontId="7" fillId="0" borderId="0" xfId="17" applyNumberFormat="1" applyFont="1" applyAlignment="1" applyProtection="1">
      <alignment/>
      <protection/>
    </xf>
    <xf numFmtId="193" fontId="6" fillId="0" borderId="0" xfId="17" applyNumberFormat="1" applyFont="1" applyAlignment="1" applyProtection="1">
      <alignment/>
      <protection locked="0"/>
    </xf>
    <xf numFmtId="193" fontId="7" fillId="0" borderId="0" xfId="17" applyNumberFormat="1" applyFont="1" applyAlignment="1" applyProtection="1">
      <alignment/>
      <protection locked="0"/>
    </xf>
    <xf numFmtId="193" fontId="6" fillId="0" borderId="0" xfId="17" applyNumberFormat="1" applyFont="1" applyAlignment="1" applyProtection="1">
      <alignment horizontal="center"/>
      <protection locked="0"/>
    </xf>
    <xf numFmtId="193" fontId="6" fillId="0" borderId="0" xfId="17" applyNumberFormat="1" applyFont="1">
      <alignment/>
      <protection/>
    </xf>
    <xf numFmtId="193" fontId="8" fillId="0" borderId="0" xfId="17" applyNumberFormat="1" applyFont="1">
      <alignment/>
      <protection/>
    </xf>
    <xf numFmtId="193" fontId="9" fillId="0" borderId="0" xfId="17" applyNumberFormat="1" applyFont="1" applyAlignment="1">
      <alignment horizontal="centerContinuous"/>
      <protection/>
    </xf>
    <xf numFmtId="193" fontId="8" fillId="0" borderId="0" xfId="17" applyNumberFormat="1" applyFont="1" applyProtection="1">
      <alignment/>
      <protection/>
    </xf>
    <xf numFmtId="193" fontId="9" fillId="0" borderId="0" xfId="17" applyNumberFormat="1" applyFont="1">
      <alignment/>
      <protection/>
    </xf>
    <xf numFmtId="193" fontId="9" fillId="0" borderId="0" xfId="17" applyNumberFormat="1" applyFont="1" applyProtection="1">
      <alignment/>
      <protection/>
    </xf>
    <xf numFmtId="193" fontId="9" fillId="0" borderId="0" xfId="17" applyNumberFormat="1" applyFont="1" applyAlignment="1">
      <alignment horizontal="right"/>
      <protection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193" fontId="0" fillId="0" borderId="0" xfId="0" applyNumberFormat="1" applyAlignment="1">
      <alignment horizontal="right"/>
    </xf>
    <xf numFmtId="193" fontId="6" fillId="0" borderId="0" xfId="17" applyNumberFormat="1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17" applyFont="1" applyBorder="1">
      <alignment/>
      <protection/>
    </xf>
    <xf numFmtId="193" fontId="0" fillId="0" borderId="0" xfId="0" applyNumberFormat="1" applyBorder="1" applyAlignment="1">
      <alignment horizontal="right"/>
    </xf>
    <xf numFmtId="193" fontId="0" fillId="0" borderId="0" xfId="0" applyNumberForma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93" fontId="6" fillId="0" borderId="0" xfId="0" applyNumberFormat="1" applyFont="1" applyAlignment="1">
      <alignment horizontal="right"/>
    </xf>
    <xf numFmtId="193" fontId="6" fillId="0" borderId="0" xfId="17" applyNumberFormat="1" applyFont="1" applyBorder="1" applyAlignment="1">
      <alignment horizontal="right"/>
      <protection/>
    </xf>
    <xf numFmtId="2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93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/>
    </xf>
    <xf numFmtId="193" fontId="1" fillId="0" borderId="0" xfId="0" applyNumberFormat="1" applyFont="1" applyBorder="1" applyAlignment="1">
      <alignment/>
    </xf>
    <xf numFmtId="0" fontId="6" fillId="0" borderId="0" xfId="17" applyFont="1" applyAlignment="1">
      <alignment horizontal="center"/>
      <protection/>
    </xf>
    <xf numFmtId="193" fontId="14" fillId="0" borderId="0" xfId="0" applyNumberFormat="1" applyFont="1" applyAlignment="1">
      <alignment/>
    </xf>
  </cellXfs>
  <cellStyles count="9">
    <cellStyle name="Normal" xfId="0"/>
    <cellStyle name="Followed Hyperlink" xfId="15"/>
    <cellStyle name="Hyperlink" xfId="16"/>
    <cellStyle name="Normal_KM_98P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C77" sqref="C77"/>
    </sheetView>
  </sheetViews>
  <sheetFormatPr defaultColWidth="11.421875" defaultRowHeight="12.75" outlineLevelCol="1"/>
  <cols>
    <col min="1" max="1" width="6.00390625" style="4" customWidth="1"/>
    <col min="2" max="2" width="28.140625" style="5" customWidth="1"/>
    <col min="3" max="3" width="18.421875" style="5" customWidth="1"/>
    <col min="4" max="4" width="6.28125" style="63" customWidth="1"/>
    <col min="5" max="5" width="6.28125" style="1" customWidth="1"/>
    <col min="6" max="6" width="6.8515625" style="6" customWidth="1"/>
    <col min="7" max="7" width="6.421875" style="1" customWidth="1"/>
    <col min="8" max="8" width="7.421875" style="7" customWidth="1"/>
    <col min="9" max="9" width="6.57421875" style="3" customWidth="1"/>
    <col min="10" max="10" width="8.421875" style="9" customWidth="1"/>
    <col min="11" max="11" width="6.57421875" style="10" hidden="1" customWidth="1" outlineLevel="1"/>
    <col min="12" max="12" width="6.8515625" style="3" customWidth="1" collapsed="1"/>
    <col min="13" max="13" width="10.28125" style="14" customWidth="1"/>
    <col min="14" max="16384" width="9.140625" style="5" customWidth="1"/>
  </cols>
  <sheetData>
    <row r="1" ht="28.5" customHeight="1">
      <c r="A1" s="13" t="s">
        <v>75</v>
      </c>
    </row>
    <row r="2" ht="28.5" customHeight="1">
      <c r="A2" s="13" t="s">
        <v>6</v>
      </c>
    </row>
    <row r="3" spans="1:13" ht="19.5">
      <c r="A3" s="15"/>
      <c r="D3" s="21" t="s">
        <v>0</v>
      </c>
      <c r="E3" s="17"/>
      <c r="F3" s="16" t="s">
        <v>1</v>
      </c>
      <c r="G3" s="17"/>
      <c r="H3" s="16" t="s">
        <v>76</v>
      </c>
      <c r="I3" s="17"/>
      <c r="J3" s="20" t="s">
        <v>3</v>
      </c>
      <c r="K3" s="21" t="s">
        <v>4</v>
      </c>
      <c r="L3" s="22"/>
      <c r="M3" s="23" t="s">
        <v>77</v>
      </c>
    </row>
    <row r="4" spans="1:13" ht="24.75" customHeight="1">
      <c r="A4" s="43"/>
      <c r="B4" s="43" t="s">
        <v>78</v>
      </c>
      <c r="C4" s="53"/>
      <c r="D4" s="65"/>
      <c r="E4" s="34"/>
      <c r="F4" s="33"/>
      <c r="H4" s="57"/>
      <c r="J4" s="37"/>
      <c r="K4" s="2"/>
      <c r="L4" s="38"/>
      <c r="M4" s="39"/>
    </row>
    <row r="5" spans="1:14" s="11" customFormat="1" ht="12" customHeight="1">
      <c r="A5" s="32" t="s">
        <v>17</v>
      </c>
      <c r="B5" s="41" t="s">
        <v>79</v>
      </c>
      <c r="C5" s="41" t="s">
        <v>19</v>
      </c>
      <c r="D5" s="10">
        <v>9.5</v>
      </c>
      <c r="E5" s="34">
        <f aca="true" t="shared" si="0" ref="E5:E12">IF(D5=0,0,MAX(0,1000+10*(J_60_10-D5)*J_60_M))</f>
        <v>932.5</v>
      </c>
      <c r="F5" s="33">
        <v>3.45</v>
      </c>
      <c r="G5" s="1">
        <f aca="true" t="shared" si="1" ref="G5:G12">IF(F5=0,0,MAX(0,TRUNC(1000+100*(F5-J_L_10)*J_L_M)))</f>
        <v>868</v>
      </c>
      <c r="H5" s="57">
        <v>19.24</v>
      </c>
      <c r="I5" s="3">
        <f aca="true" t="shared" si="2" ref="I5:I12">IF(H5=0,0,IF(H5&gt;=J_B1_10,TRUNC(1000+(H5-J_B1_10)*100*J_pluss),IF(H5&gt;=J_B2_10,TRUNC(J_80P_10+(H5-J_B2_10)*100*J_opp),TRUNC(J_80P_10-(J_B2_10-H5)*100*J_ned))))</f>
        <v>401</v>
      </c>
      <c r="J5" s="52" t="s">
        <v>80</v>
      </c>
      <c r="K5" s="2">
        <v>127.8</v>
      </c>
      <c r="L5" s="38">
        <f aca="true" t="shared" si="3" ref="L5:L12">IF(K5=0,0,MAX(0,1000+10*(J_600_11-K5)*J_600_M))</f>
        <v>596.8000000000001</v>
      </c>
      <c r="M5" s="39">
        <f aca="true" t="shared" si="4" ref="M5:M12">SUM(E5,G5,I5,L5)</f>
        <v>2798.3</v>
      </c>
      <c r="N5" s="5"/>
    </row>
    <row r="6" spans="1:14" s="11" customFormat="1" ht="12" customHeight="1">
      <c r="A6" s="32" t="s">
        <v>11</v>
      </c>
      <c r="B6" s="41" t="s">
        <v>81</v>
      </c>
      <c r="C6" s="41" t="s">
        <v>49</v>
      </c>
      <c r="D6" s="68">
        <v>10.3</v>
      </c>
      <c r="E6" s="34">
        <f t="shared" si="0"/>
        <v>716.4999999999998</v>
      </c>
      <c r="F6" s="33">
        <v>3.16</v>
      </c>
      <c r="G6" s="1">
        <f t="shared" si="1"/>
        <v>798</v>
      </c>
      <c r="H6" s="57">
        <v>24.28</v>
      </c>
      <c r="I6" s="3">
        <f t="shared" si="2"/>
        <v>603</v>
      </c>
      <c r="J6" s="52" t="s">
        <v>82</v>
      </c>
      <c r="K6" s="2">
        <v>139.9</v>
      </c>
      <c r="L6" s="38">
        <f t="shared" si="3"/>
        <v>306.39999999999986</v>
      </c>
      <c r="M6" s="39">
        <f t="shared" si="4"/>
        <v>2423.8999999999996</v>
      </c>
      <c r="N6" s="5"/>
    </row>
    <row r="7" spans="1:14" s="11" customFormat="1" ht="12" customHeight="1">
      <c r="A7" s="32">
        <v>3</v>
      </c>
      <c r="B7" s="41" t="s">
        <v>83</v>
      </c>
      <c r="C7" s="41" t="s">
        <v>49</v>
      </c>
      <c r="D7" s="10">
        <v>9.9</v>
      </c>
      <c r="E7" s="34">
        <f t="shared" si="0"/>
        <v>824.4999999999999</v>
      </c>
      <c r="F7" s="33">
        <v>3.17</v>
      </c>
      <c r="G7" s="1">
        <f t="shared" si="1"/>
        <v>800</v>
      </c>
      <c r="H7" s="57">
        <v>17.33</v>
      </c>
      <c r="I7" s="3">
        <f t="shared" si="2"/>
        <v>325</v>
      </c>
      <c r="J7" s="52" t="s">
        <v>84</v>
      </c>
      <c r="K7" s="2">
        <v>144.2</v>
      </c>
      <c r="L7" s="38">
        <f t="shared" si="3"/>
        <v>203.20000000000027</v>
      </c>
      <c r="M7" s="39">
        <f t="shared" si="4"/>
        <v>2152.7000000000003</v>
      </c>
      <c r="N7" s="5"/>
    </row>
    <row r="8" spans="1:14" s="11" customFormat="1" ht="12" customHeight="1">
      <c r="A8" s="32">
        <v>4</v>
      </c>
      <c r="B8" s="41" t="s">
        <v>85</v>
      </c>
      <c r="C8" s="11" t="s">
        <v>47</v>
      </c>
      <c r="D8" s="10">
        <v>10.7</v>
      </c>
      <c r="E8" s="34">
        <f t="shared" si="0"/>
        <v>608.5000000000002</v>
      </c>
      <c r="F8" s="33">
        <v>3.07</v>
      </c>
      <c r="G8" s="1">
        <f t="shared" si="1"/>
        <v>776</v>
      </c>
      <c r="H8" s="57">
        <v>20.2</v>
      </c>
      <c r="I8" s="3">
        <f t="shared" si="2"/>
        <v>440</v>
      </c>
      <c r="J8" s="52" t="s">
        <v>86</v>
      </c>
      <c r="K8" s="2">
        <v>141.5</v>
      </c>
      <c r="L8" s="38">
        <f t="shared" si="3"/>
        <v>268</v>
      </c>
      <c r="M8" s="39">
        <f t="shared" si="4"/>
        <v>2092.5</v>
      </c>
      <c r="N8" s="5"/>
    </row>
    <row r="9" spans="1:14" s="11" customFormat="1" ht="12" customHeight="1">
      <c r="A9" s="32">
        <v>5</v>
      </c>
      <c r="B9" s="41" t="s">
        <v>87</v>
      </c>
      <c r="C9" s="41" t="s">
        <v>88</v>
      </c>
      <c r="D9" s="10">
        <v>10.5</v>
      </c>
      <c r="E9" s="34">
        <f t="shared" si="0"/>
        <v>662.5</v>
      </c>
      <c r="F9" s="33">
        <v>2.96</v>
      </c>
      <c r="G9" s="1">
        <f t="shared" si="1"/>
        <v>750</v>
      </c>
      <c r="H9" s="57">
        <v>18.58</v>
      </c>
      <c r="I9" s="3">
        <f t="shared" si="2"/>
        <v>375</v>
      </c>
      <c r="J9" s="52" t="s">
        <v>89</v>
      </c>
      <c r="K9" s="2">
        <v>146.5</v>
      </c>
      <c r="L9" s="38">
        <f t="shared" si="3"/>
        <v>148</v>
      </c>
      <c r="M9" s="39">
        <f t="shared" si="4"/>
        <v>1935.5</v>
      </c>
      <c r="N9" s="5"/>
    </row>
    <row r="10" spans="1:14" s="11" customFormat="1" ht="12" customHeight="1">
      <c r="A10" s="32">
        <v>6</v>
      </c>
      <c r="B10" s="41" t="s">
        <v>90</v>
      </c>
      <c r="C10" s="41" t="s">
        <v>49</v>
      </c>
      <c r="D10" s="10">
        <v>11.2</v>
      </c>
      <c r="E10" s="34">
        <f t="shared" si="0"/>
        <v>473.5000000000002</v>
      </c>
      <c r="F10" s="33">
        <v>2.96</v>
      </c>
      <c r="G10" s="1">
        <f t="shared" si="1"/>
        <v>750</v>
      </c>
      <c r="H10" s="57">
        <v>16.44</v>
      </c>
      <c r="I10" s="3">
        <f t="shared" si="2"/>
        <v>289</v>
      </c>
      <c r="J10" s="52" t="s">
        <v>91</v>
      </c>
      <c r="K10" s="2">
        <v>146.6</v>
      </c>
      <c r="L10" s="38">
        <f t="shared" si="3"/>
        <v>145.60000000000014</v>
      </c>
      <c r="M10" s="39">
        <f t="shared" si="4"/>
        <v>1658.1000000000004</v>
      </c>
      <c r="N10" s="5"/>
    </row>
    <row r="11" spans="1:14" s="11" customFormat="1" ht="12" customHeight="1">
      <c r="A11" s="32">
        <v>7</v>
      </c>
      <c r="B11" s="41" t="s">
        <v>92</v>
      </c>
      <c r="C11" s="12" t="s">
        <v>13</v>
      </c>
      <c r="D11" s="10">
        <v>10.8</v>
      </c>
      <c r="E11" s="34">
        <f t="shared" si="0"/>
        <v>581.4999999999998</v>
      </c>
      <c r="F11" s="33">
        <v>2.82</v>
      </c>
      <c r="G11" s="1">
        <f t="shared" si="1"/>
        <v>716</v>
      </c>
      <c r="H11" s="57">
        <v>12.62</v>
      </c>
      <c r="I11" s="3">
        <f t="shared" si="2"/>
        <v>136</v>
      </c>
      <c r="J11" s="52" t="s">
        <v>93</v>
      </c>
      <c r="K11" s="2">
        <v>152.8</v>
      </c>
      <c r="L11" s="38">
        <f t="shared" si="3"/>
        <v>0</v>
      </c>
      <c r="M11" s="39">
        <f t="shared" si="4"/>
        <v>1433.4999999999998</v>
      </c>
      <c r="N11" s="5"/>
    </row>
    <row r="12" spans="1:14" s="11" customFormat="1" ht="12" customHeight="1">
      <c r="A12" s="32">
        <v>8</v>
      </c>
      <c r="B12" s="41" t="s">
        <v>94</v>
      </c>
      <c r="C12" s="41" t="s">
        <v>49</v>
      </c>
      <c r="D12" s="10">
        <v>11.4</v>
      </c>
      <c r="E12" s="34">
        <f t="shared" si="0"/>
        <v>419.4999999999999</v>
      </c>
      <c r="F12" s="33">
        <v>2.79</v>
      </c>
      <c r="G12" s="1">
        <f t="shared" si="1"/>
        <v>709</v>
      </c>
      <c r="H12" s="57">
        <v>11.14</v>
      </c>
      <c r="I12" s="3">
        <f t="shared" si="2"/>
        <v>77</v>
      </c>
      <c r="J12" s="52" t="s">
        <v>95</v>
      </c>
      <c r="K12" s="2">
        <v>157.1</v>
      </c>
      <c r="L12" s="38">
        <f t="shared" si="3"/>
        <v>0</v>
      </c>
      <c r="M12" s="39">
        <f t="shared" si="4"/>
        <v>1205.5</v>
      </c>
      <c r="N12" s="5"/>
    </row>
    <row r="13" spans="1:14" s="11" customFormat="1" ht="12" customHeight="1">
      <c r="A13" s="32"/>
      <c r="B13" s="42"/>
      <c r="C13" s="41"/>
      <c r="D13" s="10"/>
      <c r="E13" s="34"/>
      <c r="F13" s="33"/>
      <c r="G13" s="1"/>
      <c r="H13" s="57"/>
      <c r="I13" s="3"/>
      <c r="J13" s="52"/>
      <c r="K13" s="2"/>
      <c r="L13" s="38"/>
      <c r="M13" s="39"/>
      <c r="N13" s="5"/>
    </row>
    <row r="14" spans="1:13" s="3" customFormat="1" ht="25.5" customHeight="1">
      <c r="A14" s="25"/>
      <c r="B14" s="25" t="s">
        <v>96</v>
      </c>
      <c r="C14" s="24"/>
      <c r="D14" s="64"/>
      <c r="E14" s="25"/>
      <c r="F14" s="26"/>
      <c r="G14" s="25"/>
      <c r="H14" s="27"/>
      <c r="I14" s="24"/>
      <c r="J14" s="29"/>
      <c r="K14" s="30"/>
      <c r="L14" s="24"/>
      <c r="M14" s="31"/>
    </row>
    <row r="15" spans="1:13" ht="12" customHeight="1">
      <c r="A15" s="32" t="s">
        <v>17</v>
      </c>
      <c r="B15" s="41" t="s">
        <v>97</v>
      </c>
      <c r="C15" s="41" t="s">
        <v>19</v>
      </c>
      <c r="D15" s="65">
        <v>9.3</v>
      </c>
      <c r="E15" s="34">
        <f aca="true" t="shared" si="5" ref="E15:E24">IF(D15=0,0,MAX(0,1000+10*(J_60_11-D15)*J_60_M))</f>
        <v>865</v>
      </c>
      <c r="F15" s="33">
        <v>4.08</v>
      </c>
      <c r="G15" s="1">
        <f aca="true" t="shared" si="6" ref="G15:G24">IF(F15=0,0,MAX(0,TRUNC(1000+100*(F15-J_L_11)*J_L_M)))</f>
        <v>923</v>
      </c>
      <c r="H15" s="57">
        <v>25.94</v>
      </c>
      <c r="I15" s="3">
        <f aca="true" t="shared" si="7" ref="I15:I21">IF(H15=0,0,IF(H15&gt;=J_B1_11,TRUNC(1000+(H15-J_B1_11)*100*J_pluss),IF(H15&gt;=J_B2_11,TRUNC(J_80P_11+(H15-J_B2_11)*100*J_opp),TRUNC(J_80P_11-(J_B2_11-H15)*100*J_ned))))</f>
        <v>453</v>
      </c>
      <c r="J15" s="37" t="s">
        <v>98</v>
      </c>
      <c r="K15" s="2">
        <v>127</v>
      </c>
      <c r="L15" s="38">
        <f aca="true" t="shared" si="8" ref="L15:L24">IF(K15=0,0,MAX(0,1000+10*(J_600_11-K15)*J_600_M))</f>
        <v>616</v>
      </c>
      <c r="M15" s="39">
        <f aca="true" t="shared" si="9" ref="M15:M24">SUM(E15,G15,I15,L15)</f>
        <v>2857</v>
      </c>
    </row>
    <row r="16" spans="1:13" ht="11.25" customHeight="1">
      <c r="A16" s="40" t="s">
        <v>11</v>
      </c>
      <c r="B16" s="12" t="s">
        <v>99</v>
      </c>
      <c r="C16" s="12" t="s">
        <v>13</v>
      </c>
      <c r="D16" s="65">
        <v>9.4</v>
      </c>
      <c r="E16" s="34">
        <f t="shared" si="5"/>
        <v>838.0000000000001</v>
      </c>
      <c r="F16" s="33">
        <v>3.82</v>
      </c>
      <c r="G16" s="1">
        <f t="shared" si="6"/>
        <v>860</v>
      </c>
      <c r="H16" s="57">
        <v>24.14</v>
      </c>
      <c r="I16" s="3">
        <f t="shared" si="7"/>
        <v>381</v>
      </c>
      <c r="J16" s="58" t="s">
        <v>100</v>
      </c>
      <c r="K16" s="2">
        <v>130.1</v>
      </c>
      <c r="L16" s="38">
        <f t="shared" si="8"/>
        <v>541.6000000000001</v>
      </c>
      <c r="M16" s="39">
        <f t="shared" si="9"/>
        <v>2620.6000000000004</v>
      </c>
    </row>
    <row r="17" spans="1:13" ht="11.25" customHeight="1">
      <c r="A17" s="40">
        <v>3</v>
      </c>
      <c r="B17" s="12" t="s">
        <v>101</v>
      </c>
      <c r="C17" s="12" t="s">
        <v>13</v>
      </c>
      <c r="D17" s="65">
        <v>9.5</v>
      </c>
      <c r="E17" s="34">
        <f t="shared" si="5"/>
        <v>811.0000000000002</v>
      </c>
      <c r="F17" s="33">
        <v>3.54</v>
      </c>
      <c r="G17" s="1">
        <f t="shared" si="6"/>
        <v>793</v>
      </c>
      <c r="H17" s="57">
        <v>28.09</v>
      </c>
      <c r="I17" s="3">
        <f t="shared" si="7"/>
        <v>539</v>
      </c>
      <c r="J17" s="58" t="s">
        <v>102</v>
      </c>
      <c r="K17" s="2">
        <v>136</v>
      </c>
      <c r="L17" s="38">
        <f t="shared" si="8"/>
        <v>400</v>
      </c>
      <c r="M17" s="39">
        <f t="shared" si="9"/>
        <v>2543</v>
      </c>
    </row>
    <row r="18" spans="1:13" ht="12" customHeight="1">
      <c r="A18" s="32">
        <v>4</v>
      </c>
      <c r="B18" s="41" t="s">
        <v>103</v>
      </c>
      <c r="C18" s="41" t="s">
        <v>19</v>
      </c>
      <c r="D18" s="65">
        <v>9.9</v>
      </c>
      <c r="E18" s="34">
        <f t="shared" si="5"/>
        <v>703.0000000000001</v>
      </c>
      <c r="F18" s="33">
        <v>3.58</v>
      </c>
      <c r="G18" s="1">
        <f t="shared" si="6"/>
        <v>803</v>
      </c>
      <c r="H18" s="57">
        <v>24.6</v>
      </c>
      <c r="I18" s="3">
        <f t="shared" si="7"/>
        <v>400</v>
      </c>
      <c r="J18" s="37" t="s">
        <v>104</v>
      </c>
      <c r="K18" s="2">
        <v>127.4</v>
      </c>
      <c r="L18" s="38">
        <f t="shared" si="8"/>
        <v>606.3999999999999</v>
      </c>
      <c r="M18" s="39">
        <f t="shared" si="9"/>
        <v>2512.3999999999996</v>
      </c>
    </row>
    <row r="19" spans="1:13" ht="12" customHeight="1">
      <c r="A19" s="40">
        <v>5</v>
      </c>
      <c r="B19" s="41" t="s">
        <v>105</v>
      </c>
      <c r="C19" s="41" t="s">
        <v>106</v>
      </c>
      <c r="D19" s="65">
        <v>9.5</v>
      </c>
      <c r="E19" s="34">
        <f t="shared" si="5"/>
        <v>811.0000000000002</v>
      </c>
      <c r="F19" s="33">
        <v>3.77</v>
      </c>
      <c r="G19" s="1">
        <f t="shared" si="6"/>
        <v>848</v>
      </c>
      <c r="H19" s="57">
        <v>23.11</v>
      </c>
      <c r="I19" s="3">
        <f t="shared" si="7"/>
        <v>340</v>
      </c>
      <c r="J19" s="37" t="s">
        <v>107</v>
      </c>
      <c r="K19" s="2">
        <v>133</v>
      </c>
      <c r="L19" s="38">
        <f t="shared" si="8"/>
        <v>472</v>
      </c>
      <c r="M19" s="39">
        <f t="shared" si="9"/>
        <v>2471</v>
      </c>
    </row>
    <row r="20" spans="1:13" ht="11.25" customHeight="1">
      <c r="A20" s="32">
        <v>6</v>
      </c>
      <c r="B20" s="12" t="s">
        <v>108</v>
      </c>
      <c r="C20" s="41" t="s">
        <v>106</v>
      </c>
      <c r="D20" s="65">
        <v>10.3</v>
      </c>
      <c r="E20" s="34">
        <f t="shared" si="5"/>
        <v>595</v>
      </c>
      <c r="F20" s="33">
        <v>3.28</v>
      </c>
      <c r="G20" s="1">
        <f t="shared" si="6"/>
        <v>731</v>
      </c>
      <c r="H20" s="57">
        <v>30</v>
      </c>
      <c r="I20" s="3">
        <f t="shared" si="7"/>
        <v>616</v>
      </c>
      <c r="J20" s="58" t="s">
        <v>109</v>
      </c>
      <c r="K20" s="2">
        <v>135.8</v>
      </c>
      <c r="L20" s="38">
        <f t="shared" si="8"/>
        <v>404.7999999999997</v>
      </c>
      <c r="M20" s="39">
        <f t="shared" si="9"/>
        <v>2346.7999999999997</v>
      </c>
    </row>
    <row r="21" spans="1:13" ht="12" customHeight="1">
      <c r="A21" s="40">
        <v>7</v>
      </c>
      <c r="B21" s="41" t="s">
        <v>110</v>
      </c>
      <c r="C21" s="41" t="s">
        <v>19</v>
      </c>
      <c r="D21" s="65">
        <v>10.2</v>
      </c>
      <c r="E21" s="34">
        <f t="shared" si="5"/>
        <v>622.0000000000005</v>
      </c>
      <c r="F21" s="33">
        <v>3.1</v>
      </c>
      <c r="G21" s="1">
        <f t="shared" si="6"/>
        <v>688</v>
      </c>
      <c r="H21" s="57">
        <v>21.87</v>
      </c>
      <c r="I21" s="3">
        <f t="shared" si="7"/>
        <v>290</v>
      </c>
      <c r="J21" s="37" t="s">
        <v>111</v>
      </c>
      <c r="K21" s="2">
        <v>135.1</v>
      </c>
      <c r="L21" s="38">
        <f t="shared" si="8"/>
        <v>421.60000000000014</v>
      </c>
      <c r="M21" s="39">
        <f t="shared" si="9"/>
        <v>2021.6000000000006</v>
      </c>
    </row>
    <row r="22" spans="1:13" ht="12" customHeight="1">
      <c r="A22" s="32">
        <v>8</v>
      </c>
      <c r="B22" s="41" t="s">
        <v>112</v>
      </c>
      <c r="C22" s="41" t="s">
        <v>113</v>
      </c>
      <c r="D22" s="65">
        <v>9.6</v>
      </c>
      <c r="E22" s="34">
        <f t="shared" si="5"/>
        <v>784.0000000000002</v>
      </c>
      <c r="F22" s="33">
        <v>3.57</v>
      </c>
      <c r="G22" s="1">
        <f t="shared" si="6"/>
        <v>800</v>
      </c>
      <c r="H22" s="57">
        <v>11.97</v>
      </c>
      <c r="I22" s="3">
        <v>0</v>
      </c>
      <c r="J22" s="37" t="s">
        <v>114</v>
      </c>
      <c r="K22" s="2">
        <v>135</v>
      </c>
      <c r="L22" s="38">
        <f t="shared" si="8"/>
        <v>424</v>
      </c>
      <c r="M22" s="39">
        <f t="shared" si="9"/>
        <v>2008.0000000000002</v>
      </c>
    </row>
    <row r="23" spans="1:13" ht="12" customHeight="1">
      <c r="A23" s="40">
        <v>9</v>
      </c>
      <c r="B23" s="12" t="s">
        <v>115</v>
      </c>
      <c r="C23" s="12" t="s">
        <v>13</v>
      </c>
      <c r="D23" s="65">
        <v>10.5</v>
      </c>
      <c r="E23" s="34">
        <f t="shared" si="5"/>
        <v>541.0000000000002</v>
      </c>
      <c r="F23" s="33">
        <v>3.4</v>
      </c>
      <c r="G23" s="1">
        <f t="shared" si="6"/>
        <v>760</v>
      </c>
      <c r="H23" s="57">
        <v>20.1</v>
      </c>
      <c r="I23" s="3">
        <f>IF(H23=0,0,IF(H23&gt;=J_B1_11,TRUNC(1000+(H23-J_B1_11)*100*J_pluss),IF(H23&gt;=J_B2_11,TRUNC(J_80P_11+(H23-J_B2_11)*100*J_opp),TRUNC(J_80P_11-(J_B2_11-H23)*100*J_ned))))</f>
        <v>220</v>
      </c>
      <c r="J23" s="37" t="s">
        <v>116</v>
      </c>
      <c r="K23" s="2">
        <v>136.2</v>
      </c>
      <c r="L23" s="38">
        <f t="shared" si="8"/>
        <v>395.2000000000003</v>
      </c>
      <c r="M23" s="39">
        <f t="shared" si="9"/>
        <v>1916.2000000000005</v>
      </c>
    </row>
    <row r="24" spans="1:13" ht="12" customHeight="1">
      <c r="A24" s="32">
        <v>10</v>
      </c>
      <c r="B24" s="41" t="s">
        <v>117</v>
      </c>
      <c r="C24" s="41" t="s">
        <v>49</v>
      </c>
      <c r="D24" s="65">
        <v>10.5</v>
      </c>
      <c r="E24" s="34">
        <f t="shared" si="5"/>
        <v>541.0000000000002</v>
      </c>
      <c r="F24" s="33">
        <v>3.1</v>
      </c>
      <c r="G24" s="1">
        <f t="shared" si="6"/>
        <v>688</v>
      </c>
      <c r="H24" s="57">
        <v>15.02</v>
      </c>
      <c r="I24" s="3">
        <f>IF(H24=0,0,IF(H24&gt;=J_B1_11,TRUNC(1000+(H24-J_B1_11)*100*J_pluss),IF(H24&gt;=J_B2_11,TRUNC(J_80P_11+(H24-J_B2_11)*100*J_opp),TRUNC(J_80P_11-(J_B2_11-H24)*100*J_ned))))</f>
        <v>16</v>
      </c>
      <c r="J24" s="37" t="s">
        <v>118</v>
      </c>
      <c r="K24" s="2">
        <v>151.7</v>
      </c>
      <c r="L24" s="38">
        <f t="shared" si="8"/>
        <v>23.200000000000273</v>
      </c>
      <c r="M24" s="39">
        <f t="shared" si="9"/>
        <v>1268.2000000000005</v>
      </c>
    </row>
    <row r="25" spans="1:13" ht="12" customHeight="1">
      <c r="A25" s="32"/>
      <c r="B25" s="42"/>
      <c r="C25" s="41"/>
      <c r="D25" s="65"/>
      <c r="E25" s="34"/>
      <c r="F25" s="33"/>
      <c r="H25" s="57"/>
      <c r="J25" s="37"/>
      <c r="K25" s="2"/>
      <c r="L25" s="38"/>
      <c r="M25" s="39"/>
    </row>
    <row r="26" spans="1:13" s="3" customFormat="1" ht="24.75" customHeight="1">
      <c r="A26" s="43"/>
      <c r="B26" s="43" t="s">
        <v>119</v>
      </c>
      <c r="C26" s="44"/>
      <c r="D26" s="66"/>
      <c r="E26" s="46"/>
      <c r="F26" s="45"/>
      <c r="G26" s="25"/>
      <c r="H26" s="59"/>
      <c r="I26" s="24"/>
      <c r="J26" s="49"/>
      <c r="K26" s="50"/>
      <c r="L26" s="38"/>
      <c r="M26" s="31"/>
    </row>
    <row r="27" spans="1:13" ht="12" customHeight="1">
      <c r="A27" s="32" t="s">
        <v>11</v>
      </c>
      <c r="B27" s="42" t="s">
        <v>120</v>
      </c>
      <c r="C27" s="41" t="s">
        <v>25</v>
      </c>
      <c r="D27" s="65">
        <v>8.8</v>
      </c>
      <c r="E27" s="34">
        <f aca="true" t="shared" si="10" ref="E27:E40">IF(D27=0,0,MAX(0,1000+10*(J_60_12-D27)*J_60_M))</f>
        <v>932.5</v>
      </c>
      <c r="F27" s="33">
        <v>4.66</v>
      </c>
      <c r="G27" s="1">
        <f aca="true" t="shared" si="11" ref="G27:G40">IF(F27=0,0,MAX(0,TRUNC(1000+100*(F27-J_L_12)*J_L_M)))</f>
        <v>990</v>
      </c>
      <c r="H27" s="57">
        <v>39.94</v>
      </c>
      <c r="I27" s="3">
        <f aca="true" t="shared" si="12" ref="I27:I37">IF(H27=0,0,IF(H27&gt;=J_B1_12,TRUNC(1000+(H27-J_B1_12)*100*J_pluss),IF(H27&gt;=J_B2_12,TRUNC(J_80P_12+(H27-J_B2_12)*100*J_opp),TRUNC(J_80P_12-(J_B2_12-H27)*100*J_ned))))</f>
        <v>818</v>
      </c>
      <c r="J27" s="37" t="s">
        <v>121</v>
      </c>
      <c r="K27" s="2">
        <v>126.2</v>
      </c>
      <c r="L27" s="38">
        <f aca="true" t="shared" si="13" ref="L27:L40">IF(K27=0,0,MAX(0,1000+10*(J_600_12-K27)*J_600_M))</f>
        <v>515.1999999999999</v>
      </c>
      <c r="M27" s="39">
        <f aca="true" t="shared" si="14" ref="M27:M39">SUM(E27,G27,I27,L27)</f>
        <v>3255.7</v>
      </c>
    </row>
    <row r="28" spans="1:13" ht="12" customHeight="1">
      <c r="A28" s="32" t="s">
        <v>17</v>
      </c>
      <c r="B28" s="41" t="s">
        <v>122</v>
      </c>
      <c r="C28" s="41" t="s">
        <v>19</v>
      </c>
      <c r="D28" s="65">
        <v>9.8</v>
      </c>
      <c r="E28" s="34">
        <f t="shared" si="10"/>
        <v>662.5</v>
      </c>
      <c r="F28" s="33">
        <v>3.74</v>
      </c>
      <c r="G28" s="1">
        <f t="shared" si="11"/>
        <v>769</v>
      </c>
      <c r="H28" s="57">
        <v>32.02</v>
      </c>
      <c r="I28" s="3">
        <f t="shared" si="12"/>
        <v>516</v>
      </c>
      <c r="J28" s="37" t="s">
        <v>123</v>
      </c>
      <c r="K28" s="2">
        <v>121.2</v>
      </c>
      <c r="L28" s="38">
        <f t="shared" si="13"/>
        <v>635.1999999999999</v>
      </c>
      <c r="M28" s="39">
        <f t="shared" si="14"/>
        <v>2582.7</v>
      </c>
    </row>
    <row r="29" spans="1:13" ht="12" customHeight="1">
      <c r="A29" s="32">
        <v>3</v>
      </c>
      <c r="B29" s="41" t="s">
        <v>124</v>
      </c>
      <c r="C29" s="41" t="s">
        <v>19</v>
      </c>
      <c r="D29" s="65">
        <v>9.9</v>
      </c>
      <c r="E29" s="34">
        <f t="shared" si="10"/>
        <v>635.5000000000001</v>
      </c>
      <c r="F29" s="33">
        <v>3.74</v>
      </c>
      <c r="G29" s="1">
        <f t="shared" si="11"/>
        <v>769</v>
      </c>
      <c r="H29" s="57">
        <v>27.82</v>
      </c>
      <c r="I29" s="3">
        <f t="shared" si="12"/>
        <v>348</v>
      </c>
      <c r="J29" s="37" t="s">
        <v>125</v>
      </c>
      <c r="K29" s="2">
        <v>116.8</v>
      </c>
      <c r="L29" s="38">
        <f t="shared" si="13"/>
        <v>740.8000000000001</v>
      </c>
      <c r="M29" s="39">
        <f t="shared" si="14"/>
        <v>2493.3</v>
      </c>
    </row>
    <row r="30" spans="1:13" ht="12" customHeight="1">
      <c r="A30" s="32">
        <v>4</v>
      </c>
      <c r="B30" s="41" t="s">
        <v>126</v>
      </c>
      <c r="C30" s="41" t="s">
        <v>19</v>
      </c>
      <c r="D30" s="65">
        <v>9.5</v>
      </c>
      <c r="E30" s="34">
        <f t="shared" si="10"/>
        <v>743.5000000000002</v>
      </c>
      <c r="F30" s="33">
        <v>3.59</v>
      </c>
      <c r="G30" s="1">
        <f t="shared" si="11"/>
        <v>733</v>
      </c>
      <c r="H30" s="57">
        <v>28.45</v>
      </c>
      <c r="I30" s="3">
        <f t="shared" si="12"/>
        <v>374</v>
      </c>
      <c r="J30" s="37" t="s">
        <v>127</v>
      </c>
      <c r="K30" s="2">
        <v>123.4</v>
      </c>
      <c r="L30" s="38">
        <f t="shared" si="13"/>
        <v>582.3999999999999</v>
      </c>
      <c r="M30" s="39">
        <f t="shared" si="14"/>
        <v>2432.9</v>
      </c>
    </row>
    <row r="31" spans="1:13" ht="12" customHeight="1">
      <c r="A31" s="32">
        <v>5</v>
      </c>
      <c r="B31" s="41" t="s">
        <v>128</v>
      </c>
      <c r="C31" s="41" t="s">
        <v>19</v>
      </c>
      <c r="D31" s="65">
        <v>9.5</v>
      </c>
      <c r="E31" s="34">
        <f t="shared" si="10"/>
        <v>743.5000000000002</v>
      </c>
      <c r="F31" s="33">
        <v>3.69</v>
      </c>
      <c r="G31" s="1">
        <f t="shared" si="11"/>
        <v>757</v>
      </c>
      <c r="H31" s="57">
        <v>28.27</v>
      </c>
      <c r="I31" s="3">
        <f t="shared" si="12"/>
        <v>366</v>
      </c>
      <c r="J31" s="37" t="s">
        <v>129</v>
      </c>
      <c r="K31" s="2">
        <v>124.7</v>
      </c>
      <c r="L31" s="38">
        <f t="shared" si="13"/>
        <v>551.1999999999999</v>
      </c>
      <c r="M31" s="39">
        <f t="shared" si="14"/>
        <v>2417.7000000000003</v>
      </c>
    </row>
    <row r="32" spans="1:13" ht="12" customHeight="1">
      <c r="A32" s="32">
        <v>6</v>
      </c>
      <c r="B32" s="41" t="s">
        <v>130</v>
      </c>
      <c r="C32" s="41" t="s">
        <v>19</v>
      </c>
      <c r="D32" s="65">
        <v>9.1</v>
      </c>
      <c r="E32" s="34">
        <f t="shared" si="10"/>
        <v>851.5000000000002</v>
      </c>
      <c r="F32" s="33">
        <v>4</v>
      </c>
      <c r="G32" s="1">
        <f t="shared" si="11"/>
        <v>832</v>
      </c>
      <c r="H32" s="57">
        <v>21.57</v>
      </c>
      <c r="I32" s="3">
        <f t="shared" si="12"/>
        <v>98</v>
      </c>
      <c r="J32" s="37" t="s">
        <v>129</v>
      </c>
      <c r="K32" s="2">
        <v>124.7</v>
      </c>
      <c r="L32" s="38">
        <f t="shared" si="13"/>
        <v>551.1999999999999</v>
      </c>
      <c r="M32" s="39">
        <f t="shared" si="14"/>
        <v>2332.7000000000003</v>
      </c>
    </row>
    <row r="33" spans="1:13" ht="12" customHeight="1">
      <c r="A33" s="32">
        <v>7</v>
      </c>
      <c r="B33" s="11" t="s">
        <v>131</v>
      </c>
      <c r="C33" s="11" t="s">
        <v>47</v>
      </c>
      <c r="D33" s="65">
        <v>9.5</v>
      </c>
      <c r="E33" s="34">
        <f t="shared" si="10"/>
        <v>743.5000000000002</v>
      </c>
      <c r="F33" s="33">
        <v>3.59</v>
      </c>
      <c r="G33" s="1">
        <f t="shared" si="11"/>
        <v>733</v>
      </c>
      <c r="H33" s="57">
        <v>37.56</v>
      </c>
      <c r="I33" s="3">
        <f t="shared" si="12"/>
        <v>738</v>
      </c>
      <c r="J33" s="52" t="s">
        <v>132</v>
      </c>
      <c r="K33" s="2">
        <v>144.8</v>
      </c>
      <c r="L33" s="38">
        <f t="shared" si="13"/>
        <v>68.79999999999973</v>
      </c>
      <c r="M33" s="39">
        <f t="shared" si="14"/>
        <v>2283.2999999999997</v>
      </c>
    </row>
    <row r="34" spans="1:13" ht="12" customHeight="1">
      <c r="A34" s="32">
        <v>8</v>
      </c>
      <c r="B34" s="11" t="s">
        <v>133</v>
      </c>
      <c r="C34" s="11" t="s">
        <v>47</v>
      </c>
      <c r="D34" s="65">
        <v>9.9</v>
      </c>
      <c r="E34" s="34">
        <f t="shared" si="10"/>
        <v>635.5000000000001</v>
      </c>
      <c r="F34" s="33">
        <v>3.72</v>
      </c>
      <c r="G34" s="1">
        <f t="shared" si="11"/>
        <v>764</v>
      </c>
      <c r="H34" s="57">
        <v>25.46</v>
      </c>
      <c r="I34" s="3">
        <f t="shared" si="12"/>
        <v>254</v>
      </c>
      <c r="J34" s="37" t="s">
        <v>116</v>
      </c>
      <c r="K34" s="2">
        <v>136.2</v>
      </c>
      <c r="L34" s="38">
        <f t="shared" si="13"/>
        <v>275.2000000000003</v>
      </c>
      <c r="M34" s="39">
        <f t="shared" si="14"/>
        <v>1928.7000000000003</v>
      </c>
    </row>
    <row r="35" spans="1:13" ht="12" customHeight="1">
      <c r="A35" s="32">
        <v>9</v>
      </c>
      <c r="B35" s="11" t="s">
        <v>134</v>
      </c>
      <c r="C35" s="11" t="s">
        <v>47</v>
      </c>
      <c r="D35" s="65">
        <v>10</v>
      </c>
      <c r="E35" s="34">
        <f t="shared" si="10"/>
        <v>608.5000000000002</v>
      </c>
      <c r="F35" s="33">
        <v>3.69</v>
      </c>
      <c r="G35" s="1">
        <f t="shared" si="11"/>
        <v>757</v>
      </c>
      <c r="H35" s="57">
        <v>30.47</v>
      </c>
      <c r="I35" s="3">
        <f t="shared" si="12"/>
        <v>454</v>
      </c>
      <c r="J35" s="37" t="s">
        <v>135</v>
      </c>
      <c r="K35" s="2">
        <v>143.3</v>
      </c>
      <c r="L35" s="38">
        <f t="shared" si="13"/>
        <v>104.79999999999973</v>
      </c>
      <c r="M35" s="39">
        <f t="shared" si="14"/>
        <v>1924.3</v>
      </c>
    </row>
    <row r="36" spans="1:13" ht="12" customHeight="1">
      <c r="A36" s="32">
        <v>10</v>
      </c>
      <c r="B36" s="12" t="s">
        <v>136</v>
      </c>
      <c r="C36" s="41" t="s">
        <v>25</v>
      </c>
      <c r="D36" s="65">
        <v>9.9</v>
      </c>
      <c r="E36" s="34">
        <f t="shared" si="10"/>
        <v>635.5000000000001</v>
      </c>
      <c r="F36" s="33">
        <v>3.27</v>
      </c>
      <c r="G36" s="1">
        <f t="shared" si="11"/>
        <v>656</v>
      </c>
      <c r="H36" s="57">
        <v>19.81</v>
      </c>
      <c r="I36" s="3">
        <f t="shared" si="12"/>
        <v>28</v>
      </c>
      <c r="J36" s="37" t="s">
        <v>137</v>
      </c>
      <c r="K36" s="2">
        <v>169</v>
      </c>
      <c r="L36" s="38">
        <f t="shared" si="13"/>
        <v>0</v>
      </c>
      <c r="M36" s="39">
        <f t="shared" si="14"/>
        <v>1319.5</v>
      </c>
    </row>
    <row r="37" spans="1:13" ht="12" customHeight="1">
      <c r="A37" s="32">
        <v>11</v>
      </c>
      <c r="B37" s="41" t="s">
        <v>138</v>
      </c>
      <c r="C37" s="41" t="s">
        <v>88</v>
      </c>
      <c r="D37" s="65">
        <v>10.8</v>
      </c>
      <c r="E37" s="34">
        <f t="shared" si="10"/>
        <v>392.5</v>
      </c>
      <c r="F37" s="33">
        <v>3.24</v>
      </c>
      <c r="G37" s="1">
        <f t="shared" si="11"/>
        <v>649</v>
      </c>
      <c r="H37" s="57">
        <v>23.75</v>
      </c>
      <c r="I37" s="3">
        <f t="shared" si="12"/>
        <v>186</v>
      </c>
      <c r="J37" s="37" t="s">
        <v>139</v>
      </c>
      <c r="K37" s="2">
        <v>145.7</v>
      </c>
      <c r="L37" s="38">
        <f t="shared" si="13"/>
        <v>47.20000000000027</v>
      </c>
      <c r="M37" s="39">
        <f t="shared" si="14"/>
        <v>1274.7000000000003</v>
      </c>
    </row>
    <row r="38" spans="1:13" ht="12" customHeight="1">
      <c r="A38" s="32">
        <v>12</v>
      </c>
      <c r="B38" s="12" t="s">
        <v>140</v>
      </c>
      <c r="C38" s="41" t="s">
        <v>25</v>
      </c>
      <c r="D38" s="65">
        <v>10.6</v>
      </c>
      <c r="E38" s="34">
        <f t="shared" si="10"/>
        <v>446.50000000000034</v>
      </c>
      <c r="F38" s="33">
        <v>3.33</v>
      </c>
      <c r="G38" s="1">
        <f t="shared" si="11"/>
        <v>671</v>
      </c>
      <c r="H38" s="57">
        <v>15.46</v>
      </c>
      <c r="I38" s="3">
        <v>0</v>
      </c>
      <c r="J38" s="37" t="s">
        <v>141</v>
      </c>
      <c r="K38" s="2">
        <v>144</v>
      </c>
      <c r="L38" s="38">
        <f t="shared" si="13"/>
        <v>88</v>
      </c>
      <c r="M38" s="39">
        <f t="shared" si="14"/>
        <v>1205.5000000000005</v>
      </c>
    </row>
    <row r="39" spans="1:13" ht="12" customHeight="1">
      <c r="A39" s="32">
        <v>13</v>
      </c>
      <c r="B39" s="11" t="s">
        <v>142</v>
      </c>
      <c r="C39" s="11" t="s">
        <v>47</v>
      </c>
      <c r="D39" s="65">
        <v>10.3</v>
      </c>
      <c r="E39" s="34">
        <f t="shared" si="10"/>
        <v>527.5</v>
      </c>
      <c r="F39" s="33">
        <v>3.21</v>
      </c>
      <c r="G39" s="1">
        <f t="shared" si="11"/>
        <v>642</v>
      </c>
      <c r="H39" s="57">
        <v>12.54</v>
      </c>
      <c r="I39" s="3">
        <v>0</v>
      </c>
      <c r="J39" s="37" t="s">
        <v>143</v>
      </c>
      <c r="K39" s="2">
        <v>150.1</v>
      </c>
      <c r="L39" s="38">
        <f t="shared" si="13"/>
        <v>0</v>
      </c>
      <c r="M39" s="39">
        <f t="shared" si="14"/>
        <v>1169.5</v>
      </c>
    </row>
    <row r="40" spans="1:13" ht="12" customHeight="1">
      <c r="A40" s="32" t="s">
        <v>27</v>
      </c>
      <c r="B40" s="11" t="s">
        <v>144</v>
      </c>
      <c r="C40" s="11" t="s">
        <v>47</v>
      </c>
      <c r="D40" s="65">
        <v>9.7</v>
      </c>
      <c r="E40" s="34">
        <f t="shared" si="10"/>
        <v>689.5000000000005</v>
      </c>
      <c r="F40" s="33">
        <v>3.78</v>
      </c>
      <c r="G40" s="1">
        <f t="shared" si="11"/>
        <v>779</v>
      </c>
      <c r="H40" s="57">
        <v>31.23</v>
      </c>
      <c r="I40" s="3">
        <f>IF(H40=0,0,IF(H40&gt;=J_B1_12,TRUNC(1000+(H40-J_B1_12)*100*J_pluss),IF(H40&gt;=J_B2_12,TRUNC(J_80P_12+(H40-J_B2_12)*100*J_opp),TRUNC(J_80P_12-(J_B2_12-H40)*100*J_ned))))</f>
        <v>485</v>
      </c>
      <c r="J40" s="37" t="s">
        <v>29</v>
      </c>
      <c r="K40" s="2"/>
      <c r="L40" s="38">
        <f t="shared" si="13"/>
        <v>0</v>
      </c>
      <c r="M40" s="39"/>
    </row>
    <row r="41" spans="1:13" ht="12" customHeight="1">
      <c r="A41" s="60"/>
      <c r="B41" s="42"/>
      <c r="C41" s="12"/>
      <c r="D41" s="65"/>
      <c r="E41" s="34"/>
      <c r="F41" s="33"/>
      <c r="H41" s="57"/>
      <c r="J41" s="52"/>
      <c r="K41" s="2"/>
      <c r="L41" s="38"/>
      <c r="M41" s="39"/>
    </row>
    <row r="42" spans="1:13" ht="24" customHeight="1" collapsed="1">
      <c r="A42" s="43"/>
      <c r="B42" s="43" t="s">
        <v>145</v>
      </c>
      <c r="C42" s="53"/>
      <c r="D42" s="65"/>
      <c r="E42" s="34"/>
      <c r="F42" s="33"/>
      <c r="H42" s="57"/>
      <c r="J42" s="37"/>
      <c r="K42" s="2"/>
      <c r="L42" s="38"/>
      <c r="M42" s="39"/>
    </row>
    <row r="43" spans="1:14" s="11" customFormat="1" ht="12" customHeight="1">
      <c r="A43" s="32" t="s">
        <v>17</v>
      </c>
      <c r="B43" s="41" t="s">
        <v>146</v>
      </c>
      <c r="C43" s="41" t="s">
        <v>36</v>
      </c>
      <c r="D43" s="10">
        <v>9.7</v>
      </c>
      <c r="E43" s="34">
        <f aca="true" t="shared" si="15" ref="E43:E50">IF(D43=0,0,MAX(0,1000+10*(G_60_10-D43)*G_60_M))</f>
        <v>860.5000000000002</v>
      </c>
      <c r="F43" s="33">
        <v>3.69</v>
      </c>
      <c r="G43" s="1">
        <f aca="true" t="shared" si="16" ref="G43:G50">IF(F43=0,0,MAX(0,TRUNC(1000+100*(F43-G_L_10)*G_L_M)))</f>
        <v>913</v>
      </c>
      <c r="H43" s="57">
        <v>38.1</v>
      </c>
      <c r="I43" s="3">
        <f aca="true" t="shared" si="17" ref="I43:I50">IF(H43=0,0,IF(H43&gt;=G_B1_10,TRUNC(1000+(H43-G_B1_10)*100*G_pluss),IF(H43&gt;=G_B2_10,TRUNC(G_80P_10+(H43-G_B2_10)*100*G_opp),TRUNC(G_80P_10-(G_B2_10-H43)*100*G_ned))))</f>
        <v>793</v>
      </c>
      <c r="J43" s="52" t="s">
        <v>147</v>
      </c>
      <c r="K43" s="2">
        <v>130.7</v>
      </c>
      <c r="L43" s="38">
        <f aca="true" t="shared" si="18" ref="L43:L50">IF(K43=0,0,MAX(0,1000+10*(G_600_11-K43)*G_600_M))</f>
        <v>333.10000000000025</v>
      </c>
      <c r="M43" s="39">
        <f aca="true" t="shared" si="19" ref="M43:M49">SUM(E43,G43,I43,L43)</f>
        <v>2899.6000000000004</v>
      </c>
      <c r="N43" s="5"/>
    </row>
    <row r="44" spans="1:14" s="11" customFormat="1" ht="12" customHeight="1">
      <c r="A44" s="32">
        <v>2</v>
      </c>
      <c r="B44" s="41" t="s">
        <v>148</v>
      </c>
      <c r="C44" s="41" t="s">
        <v>36</v>
      </c>
      <c r="D44" s="10">
        <v>10.1</v>
      </c>
      <c r="E44" s="34">
        <f t="shared" si="15"/>
        <v>736.5000000000001</v>
      </c>
      <c r="F44" s="33">
        <v>3.65</v>
      </c>
      <c r="G44" s="1">
        <f t="shared" si="16"/>
        <v>905</v>
      </c>
      <c r="H44" s="57">
        <v>30.45</v>
      </c>
      <c r="I44" s="3">
        <f t="shared" si="17"/>
        <v>563</v>
      </c>
      <c r="J44" s="52" t="s">
        <v>20</v>
      </c>
      <c r="K44" s="2">
        <v>118.6</v>
      </c>
      <c r="L44" s="38">
        <f t="shared" si="18"/>
        <v>659.8000000000002</v>
      </c>
      <c r="M44" s="39">
        <f t="shared" si="19"/>
        <v>2864.3</v>
      </c>
      <c r="N44" s="5"/>
    </row>
    <row r="45" spans="1:14" s="11" customFormat="1" ht="12" customHeight="1">
      <c r="A45" s="32">
        <v>3</v>
      </c>
      <c r="B45" s="41" t="s">
        <v>149</v>
      </c>
      <c r="C45" s="41" t="s">
        <v>39</v>
      </c>
      <c r="D45" s="10">
        <v>9.6</v>
      </c>
      <c r="E45" s="34">
        <f t="shared" si="15"/>
        <v>891.5000000000001</v>
      </c>
      <c r="F45" s="33">
        <v>4.24</v>
      </c>
      <c r="G45" s="1">
        <f t="shared" si="16"/>
        <v>1029</v>
      </c>
      <c r="H45" s="57">
        <v>23.72</v>
      </c>
      <c r="I45" s="3">
        <f t="shared" si="17"/>
        <v>361</v>
      </c>
      <c r="J45" s="52" t="s">
        <v>150</v>
      </c>
      <c r="K45" s="2">
        <v>126.5</v>
      </c>
      <c r="L45" s="38">
        <f t="shared" si="18"/>
        <v>446.5</v>
      </c>
      <c r="M45" s="39">
        <f t="shared" si="19"/>
        <v>2728</v>
      </c>
      <c r="N45" s="5"/>
    </row>
    <row r="46" spans="1:14" s="11" customFormat="1" ht="12" customHeight="1">
      <c r="A46" s="32" t="s">
        <v>11</v>
      </c>
      <c r="B46" s="41" t="s">
        <v>151</v>
      </c>
      <c r="C46" s="41" t="s">
        <v>49</v>
      </c>
      <c r="D46" s="10">
        <v>9.8</v>
      </c>
      <c r="E46" s="34">
        <f t="shared" si="15"/>
        <v>829.4999999999998</v>
      </c>
      <c r="F46" s="33">
        <v>3.53</v>
      </c>
      <c r="G46" s="1">
        <f t="shared" si="16"/>
        <v>880</v>
      </c>
      <c r="H46" s="57">
        <v>36.12</v>
      </c>
      <c r="I46" s="3">
        <f t="shared" si="17"/>
        <v>733</v>
      </c>
      <c r="J46" s="52" t="s">
        <v>116</v>
      </c>
      <c r="K46" s="2">
        <v>136.2</v>
      </c>
      <c r="L46" s="38">
        <f t="shared" si="18"/>
        <v>184.60000000000025</v>
      </c>
      <c r="M46" s="39">
        <f t="shared" si="19"/>
        <v>2627.1000000000004</v>
      </c>
      <c r="N46" s="5"/>
    </row>
    <row r="47" spans="1:14" s="11" customFormat="1" ht="12" customHeight="1">
      <c r="A47" s="32">
        <v>5</v>
      </c>
      <c r="B47" s="41" t="s">
        <v>152</v>
      </c>
      <c r="C47" s="41" t="s">
        <v>49</v>
      </c>
      <c r="D47" s="10">
        <v>10.3</v>
      </c>
      <c r="E47" s="34">
        <f t="shared" si="15"/>
        <v>674.4999999999998</v>
      </c>
      <c r="F47" s="33">
        <v>3.43</v>
      </c>
      <c r="G47" s="1">
        <f t="shared" si="16"/>
        <v>859</v>
      </c>
      <c r="H47" s="57">
        <v>27.74</v>
      </c>
      <c r="I47" s="3">
        <f t="shared" si="17"/>
        <v>482</v>
      </c>
      <c r="J47" s="52" t="s">
        <v>153</v>
      </c>
      <c r="K47" s="2">
        <v>127.7</v>
      </c>
      <c r="L47" s="38">
        <f t="shared" si="18"/>
        <v>414.0999999999999</v>
      </c>
      <c r="M47" s="39">
        <f t="shared" si="19"/>
        <v>2429.5999999999995</v>
      </c>
      <c r="N47" s="5"/>
    </row>
    <row r="48" spans="1:14" s="11" customFormat="1" ht="12" customHeight="1">
      <c r="A48" s="32">
        <v>6</v>
      </c>
      <c r="B48" s="41" t="s">
        <v>154</v>
      </c>
      <c r="C48" s="12" t="s">
        <v>13</v>
      </c>
      <c r="D48" s="10">
        <v>10.3</v>
      </c>
      <c r="E48" s="34">
        <f t="shared" si="15"/>
        <v>674.4999999999998</v>
      </c>
      <c r="F48" s="33">
        <v>3.23</v>
      </c>
      <c r="G48" s="1">
        <f t="shared" si="16"/>
        <v>817</v>
      </c>
      <c r="H48" s="57">
        <v>19.08</v>
      </c>
      <c r="I48" s="3">
        <f t="shared" si="17"/>
        <v>222</v>
      </c>
      <c r="J48" s="52" t="s">
        <v>155</v>
      </c>
      <c r="K48" s="2">
        <v>129.2</v>
      </c>
      <c r="L48" s="38">
        <f t="shared" si="18"/>
        <v>373.60000000000025</v>
      </c>
      <c r="M48" s="39">
        <f t="shared" si="19"/>
        <v>2087.1</v>
      </c>
      <c r="N48" s="5"/>
    </row>
    <row r="49" spans="1:14" s="11" customFormat="1" ht="12" customHeight="1">
      <c r="A49" s="32">
        <v>7</v>
      </c>
      <c r="B49" s="11" t="s">
        <v>156</v>
      </c>
      <c r="C49" s="11" t="s">
        <v>47</v>
      </c>
      <c r="D49" s="10">
        <v>11.2</v>
      </c>
      <c r="E49" s="34">
        <f t="shared" si="15"/>
        <v>395.5000000000002</v>
      </c>
      <c r="F49" s="33">
        <v>3.52</v>
      </c>
      <c r="G49" s="1">
        <f t="shared" si="16"/>
        <v>878</v>
      </c>
      <c r="H49" s="57">
        <v>25.26</v>
      </c>
      <c r="I49" s="3">
        <f t="shared" si="17"/>
        <v>407</v>
      </c>
      <c r="J49" s="52" t="s">
        <v>157</v>
      </c>
      <c r="K49" s="2">
        <v>147.9</v>
      </c>
      <c r="L49" s="38">
        <f t="shared" si="18"/>
        <v>0</v>
      </c>
      <c r="M49" s="39">
        <f t="shared" si="19"/>
        <v>1680.5000000000002</v>
      </c>
      <c r="N49" s="5"/>
    </row>
    <row r="50" spans="1:14" s="11" customFormat="1" ht="12" customHeight="1">
      <c r="A50" s="32" t="s">
        <v>27</v>
      </c>
      <c r="B50" s="41" t="s">
        <v>158</v>
      </c>
      <c r="C50" s="41" t="s">
        <v>159</v>
      </c>
      <c r="D50" s="10">
        <v>11</v>
      </c>
      <c r="E50" s="34">
        <f t="shared" si="15"/>
        <v>457.5</v>
      </c>
      <c r="F50" s="33">
        <v>2.64</v>
      </c>
      <c r="G50" s="1">
        <f t="shared" si="16"/>
        <v>693</v>
      </c>
      <c r="H50" s="61">
        <v>23.1</v>
      </c>
      <c r="I50" s="3">
        <f t="shared" si="17"/>
        <v>343</v>
      </c>
      <c r="J50" s="52" t="s">
        <v>29</v>
      </c>
      <c r="K50" s="2">
        <v>0</v>
      </c>
      <c r="L50" s="38">
        <f t="shared" si="18"/>
        <v>0</v>
      </c>
      <c r="M50" s="39"/>
      <c r="N50" s="5"/>
    </row>
    <row r="51" spans="1:14" s="11" customFormat="1" ht="12" customHeight="1">
      <c r="A51" s="60"/>
      <c r="B51" s="51"/>
      <c r="C51" s="51"/>
      <c r="D51" s="10"/>
      <c r="E51" s="34"/>
      <c r="F51" s="33"/>
      <c r="G51" s="1"/>
      <c r="H51" s="57"/>
      <c r="I51" s="3"/>
      <c r="J51" s="52"/>
      <c r="K51" s="2"/>
      <c r="L51" s="38"/>
      <c r="M51" s="39"/>
      <c r="N51" s="5"/>
    </row>
    <row r="52" spans="1:13" ht="23.25" customHeight="1">
      <c r="A52" s="43"/>
      <c r="B52" s="43" t="s">
        <v>160</v>
      </c>
      <c r="C52" s="53"/>
      <c r="D52" s="65"/>
      <c r="E52" s="34"/>
      <c r="F52" s="33"/>
      <c r="H52" s="57"/>
      <c r="J52" s="37"/>
      <c r="K52" s="2"/>
      <c r="L52" s="38"/>
      <c r="M52" s="39"/>
    </row>
    <row r="53" spans="1:14" s="11" customFormat="1" ht="12" customHeight="1">
      <c r="A53" s="32" t="s">
        <v>11</v>
      </c>
      <c r="B53" s="42" t="s">
        <v>161</v>
      </c>
      <c r="C53" s="41" t="s">
        <v>49</v>
      </c>
      <c r="D53" s="10">
        <v>9.2</v>
      </c>
      <c r="E53" s="34">
        <f aca="true" t="shared" si="20" ref="E53:E65">IF(D53=0,0,MAX(0,1000+10*(G_60_11-D53)*G_60_M))</f>
        <v>860.5000000000002</v>
      </c>
      <c r="F53" s="33">
        <v>4.05</v>
      </c>
      <c r="G53" s="1">
        <f aca="true" t="shared" si="21" ref="G53:G65">IF(F53=0,0,MAX(0,TRUNC(1000+100*(F53-G_L_11)*G_L_M)))</f>
        <v>895</v>
      </c>
      <c r="H53" s="57">
        <v>36.46</v>
      </c>
      <c r="I53" s="3">
        <f aca="true" t="shared" si="22" ref="I53:I65">IF(H53=0,0,IF(H53&gt;=G_B1_11,TRUNC(1000+(H53-G_B1_11)*100*G_pluss),IF(H53&gt;=G_B2_11,TRUNC(G_80P_11+(H53-G_B2_11)*100*G_opp),TRUNC(G_80P_11-(G_B2_11-H53)*100*G_ned))))</f>
        <v>473</v>
      </c>
      <c r="J53" s="52" t="s">
        <v>162</v>
      </c>
      <c r="K53" s="2">
        <v>121.4</v>
      </c>
      <c r="L53" s="38">
        <f aca="true" t="shared" si="23" ref="L53:L65">IF(K53=0,0,MAX(0,1000+10*(G_600_11-K53)*G_600_M))</f>
        <v>584.1999999999998</v>
      </c>
      <c r="M53" s="39">
        <f aca="true" t="shared" si="24" ref="M53:M65">SUM(E53,G53,I53,L53)</f>
        <v>2812.7</v>
      </c>
      <c r="N53" s="5"/>
    </row>
    <row r="54" spans="1:14" s="11" customFormat="1" ht="12" customHeight="1">
      <c r="A54" s="40">
        <v>2</v>
      </c>
      <c r="B54" s="12" t="s">
        <v>163</v>
      </c>
      <c r="C54" s="12" t="s">
        <v>13</v>
      </c>
      <c r="D54" s="10">
        <v>9.6</v>
      </c>
      <c r="E54" s="34">
        <f t="shared" si="20"/>
        <v>736.5000000000001</v>
      </c>
      <c r="F54" s="33">
        <v>3.58</v>
      </c>
      <c r="G54" s="1">
        <f t="shared" si="21"/>
        <v>796</v>
      </c>
      <c r="H54" s="57">
        <v>37.65</v>
      </c>
      <c r="I54" s="3">
        <f t="shared" si="22"/>
        <v>509</v>
      </c>
      <c r="J54" s="52" t="s">
        <v>164</v>
      </c>
      <c r="K54" s="2">
        <v>125.1</v>
      </c>
      <c r="L54" s="38">
        <f t="shared" si="23"/>
        <v>484.30000000000007</v>
      </c>
      <c r="M54" s="39">
        <f t="shared" si="24"/>
        <v>2525.8</v>
      </c>
      <c r="N54" s="5"/>
    </row>
    <row r="55" spans="1:14" s="11" customFormat="1" ht="12" customHeight="1">
      <c r="A55" s="32" t="s">
        <v>17</v>
      </c>
      <c r="B55" s="41" t="s">
        <v>165</v>
      </c>
      <c r="C55" s="41" t="s">
        <v>19</v>
      </c>
      <c r="D55" s="10">
        <v>9.9</v>
      </c>
      <c r="E55" s="34">
        <f t="shared" si="20"/>
        <v>643.4999999999999</v>
      </c>
      <c r="F55" s="33">
        <v>3.6</v>
      </c>
      <c r="G55" s="1">
        <f t="shared" si="21"/>
        <v>800</v>
      </c>
      <c r="H55" s="57">
        <v>32.64</v>
      </c>
      <c r="I55" s="3">
        <f t="shared" si="22"/>
        <v>359</v>
      </c>
      <c r="J55" s="52" t="s">
        <v>166</v>
      </c>
      <c r="K55" s="2">
        <v>122</v>
      </c>
      <c r="L55" s="38">
        <f t="shared" si="23"/>
        <v>568</v>
      </c>
      <c r="M55" s="39">
        <f t="shared" si="24"/>
        <v>2370.5</v>
      </c>
      <c r="N55" s="5"/>
    </row>
    <row r="56" spans="1:14" s="11" customFormat="1" ht="12" customHeight="1">
      <c r="A56" s="40">
        <v>4</v>
      </c>
      <c r="B56" s="12" t="s">
        <v>167</v>
      </c>
      <c r="C56" s="12" t="s">
        <v>13</v>
      </c>
      <c r="D56" s="10">
        <v>10.2</v>
      </c>
      <c r="E56" s="34">
        <f t="shared" si="20"/>
        <v>550.5000000000002</v>
      </c>
      <c r="F56" s="33">
        <v>3.46</v>
      </c>
      <c r="G56" s="1">
        <f t="shared" si="21"/>
        <v>771</v>
      </c>
      <c r="H56" s="57">
        <v>37.3</v>
      </c>
      <c r="I56" s="3">
        <f t="shared" si="22"/>
        <v>499</v>
      </c>
      <c r="J56" s="52" t="s">
        <v>168</v>
      </c>
      <c r="K56" s="2">
        <v>134.1</v>
      </c>
      <c r="L56" s="38">
        <f t="shared" si="23"/>
        <v>241.30000000000007</v>
      </c>
      <c r="M56" s="39">
        <f t="shared" si="24"/>
        <v>2061.8</v>
      </c>
      <c r="N56" s="5"/>
    </row>
    <row r="57" spans="1:14" s="11" customFormat="1" ht="12" customHeight="1">
      <c r="A57" s="32">
        <v>5</v>
      </c>
      <c r="B57" s="41" t="s">
        <v>169</v>
      </c>
      <c r="C57" s="41" t="s">
        <v>49</v>
      </c>
      <c r="D57" s="10">
        <v>10.2</v>
      </c>
      <c r="E57" s="34">
        <f t="shared" si="20"/>
        <v>550.5000000000002</v>
      </c>
      <c r="F57" s="33">
        <v>3.18</v>
      </c>
      <c r="G57" s="1">
        <f t="shared" si="21"/>
        <v>712</v>
      </c>
      <c r="H57" s="57">
        <v>32.57</v>
      </c>
      <c r="I57" s="3">
        <f t="shared" si="22"/>
        <v>357</v>
      </c>
      <c r="J57" s="52" t="s">
        <v>170</v>
      </c>
      <c r="K57" s="2">
        <v>127.2</v>
      </c>
      <c r="L57" s="38">
        <f t="shared" si="23"/>
        <v>427.5999999999999</v>
      </c>
      <c r="M57" s="39">
        <f t="shared" si="24"/>
        <v>2047.1000000000001</v>
      </c>
      <c r="N57" s="5"/>
    </row>
    <row r="58" spans="1:14" s="11" customFormat="1" ht="12" customHeight="1">
      <c r="A58" s="40">
        <v>6</v>
      </c>
      <c r="B58" s="12" t="s">
        <v>171</v>
      </c>
      <c r="C58" s="41" t="s">
        <v>25</v>
      </c>
      <c r="D58" s="10">
        <v>9.3</v>
      </c>
      <c r="E58" s="34">
        <f t="shared" si="20"/>
        <v>829.4999999999998</v>
      </c>
      <c r="F58" s="33">
        <v>3.67</v>
      </c>
      <c r="G58" s="1">
        <f t="shared" si="21"/>
        <v>815</v>
      </c>
      <c r="H58" s="57">
        <v>28.72</v>
      </c>
      <c r="I58" s="3">
        <f t="shared" si="22"/>
        <v>241</v>
      </c>
      <c r="J58" s="52" t="s">
        <v>172</v>
      </c>
      <c r="K58" s="2">
        <v>138.1</v>
      </c>
      <c r="L58" s="38">
        <f t="shared" si="23"/>
        <v>133.30000000000007</v>
      </c>
      <c r="M58" s="39">
        <f t="shared" si="24"/>
        <v>2018.7999999999997</v>
      </c>
      <c r="N58" s="5"/>
    </row>
    <row r="59" spans="1:14" s="11" customFormat="1" ht="12" customHeight="1">
      <c r="A59" s="32">
        <v>7</v>
      </c>
      <c r="B59" s="41" t="s">
        <v>173</v>
      </c>
      <c r="C59" s="41" t="s">
        <v>49</v>
      </c>
      <c r="D59" s="10">
        <v>10.3</v>
      </c>
      <c r="E59" s="34">
        <f t="shared" si="20"/>
        <v>519.4999999999998</v>
      </c>
      <c r="F59" s="33">
        <v>3.4</v>
      </c>
      <c r="G59" s="1">
        <f t="shared" si="21"/>
        <v>758</v>
      </c>
      <c r="H59" s="57">
        <v>22.6</v>
      </c>
      <c r="I59" s="3">
        <f t="shared" si="22"/>
        <v>58</v>
      </c>
      <c r="J59" s="52" t="s">
        <v>174</v>
      </c>
      <c r="K59" s="2">
        <v>125.8</v>
      </c>
      <c r="L59" s="38">
        <f t="shared" si="23"/>
        <v>465.4000000000001</v>
      </c>
      <c r="M59" s="39">
        <f t="shared" si="24"/>
        <v>1800.8999999999999</v>
      </c>
      <c r="N59" s="5"/>
    </row>
    <row r="60" spans="1:14" s="11" customFormat="1" ht="12" customHeight="1">
      <c r="A60" s="40">
        <v>8</v>
      </c>
      <c r="B60" s="12" t="s">
        <v>175</v>
      </c>
      <c r="C60" s="41" t="s">
        <v>25</v>
      </c>
      <c r="D60" s="10">
        <v>10.1</v>
      </c>
      <c r="E60" s="34">
        <f t="shared" si="20"/>
        <v>581.5000000000001</v>
      </c>
      <c r="F60" s="33">
        <v>3.67</v>
      </c>
      <c r="G60" s="1">
        <f t="shared" si="21"/>
        <v>815</v>
      </c>
      <c r="H60" s="57">
        <v>34.14</v>
      </c>
      <c r="I60" s="3">
        <f t="shared" si="22"/>
        <v>404</v>
      </c>
      <c r="J60" s="52" t="s">
        <v>176</v>
      </c>
      <c r="K60" s="2">
        <v>150.6</v>
      </c>
      <c r="L60" s="38">
        <f t="shared" si="23"/>
        <v>0</v>
      </c>
      <c r="M60" s="39">
        <f t="shared" si="24"/>
        <v>1800.5</v>
      </c>
      <c r="N60" s="5"/>
    </row>
    <row r="61" spans="1:14" s="11" customFormat="1" ht="12" customHeight="1">
      <c r="A61" s="32">
        <v>9</v>
      </c>
      <c r="B61" s="41" t="s">
        <v>177</v>
      </c>
      <c r="C61" s="41" t="s">
        <v>19</v>
      </c>
      <c r="D61" s="10">
        <v>10.2</v>
      </c>
      <c r="E61" s="34">
        <f t="shared" si="20"/>
        <v>550.5000000000002</v>
      </c>
      <c r="F61" s="33">
        <v>3.47</v>
      </c>
      <c r="G61" s="1">
        <f t="shared" si="21"/>
        <v>773</v>
      </c>
      <c r="H61" s="57">
        <v>30.67</v>
      </c>
      <c r="I61" s="3">
        <f t="shared" si="22"/>
        <v>300</v>
      </c>
      <c r="J61" s="52" t="s">
        <v>178</v>
      </c>
      <c r="K61" s="2">
        <v>152.9</v>
      </c>
      <c r="L61" s="38">
        <f t="shared" si="23"/>
        <v>0</v>
      </c>
      <c r="M61" s="39">
        <f t="shared" si="24"/>
        <v>1623.5000000000002</v>
      </c>
      <c r="N61" s="5"/>
    </row>
    <row r="62" spans="1:14" s="11" customFormat="1" ht="12" customHeight="1">
      <c r="A62" s="40">
        <v>10</v>
      </c>
      <c r="B62" s="41" t="s">
        <v>179</v>
      </c>
      <c r="C62" s="41" t="s">
        <v>49</v>
      </c>
      <c r="D62" s="10">
        <v>10.6</v>
      </c>
      <c r="E62" s="34">
        <f t="shared" si="20"/>
        <v>426.5000000000001</v>
      </c>
      <c r="F62" s="33">
        <v>3.5</v>
      </c>
      <c r="G62" s="1">
        <f t="shared" si="21"/>
        <v>779</v>
      </c>
      <c r="H62" s="57">
        <v>22.59</v>
      </c>
      <c r="I62" s="3">
        <f t="shared" si="22"/>
        <v>57</v>
      </c>
      <c r="J62" s="52" t="s">
        <v>180</v>
      </c>
      <c r="K62" s="2">
        <v>129.7</v>
      </c>
      <c r="L62" s="38">
        <f t="shared" si="23"/>
        <v>360.10000000000025</v>
      </c>
      <c r="M62" s="39">
        <f t="shared" si="24"/>
        <v>1622.6000000000004</v>
      </c>
      <c r="N62" s="5"/>
    </row>
    <row r="63" spans="1:14" s="11" customFormat="1" ht="12" customHeight="1">
      <c r="A63" s="32">
        <v>11</v>
      </c>
      <c r="B63" s="41" t="s">
        <v>181</v>
      </c>
      <c r="C63" s="41" t="s">
        <v>19</v>
      </c>
      <c r="D63" s="10">
        <v>10.3</v>
      </c>
      <c r="E63" s="34">
        <f t="shared" si="20"/>
        <v>519.4999999999998</v>
      </c>
      <c r="F63" s="33">
        <v>3.23</v>
      </c>
      <c r="G63" s="1">
        <f t="shared" si="21"/>
        <v>722</v>
      </c>
      <c r="H63" s="57">
        <v>23.6</v>
      </c>
      <c r="I63" s="3">
        <f t="shared" si="22"/>
        <v>88</v>
      </c>
      <c r="J63" s="52" t="s">
        <v>182</v>
      </c>
      <c r="K63" s="2">
        <v>134</v>
      </c>
      <c r="L63" s="38">
        <f t="shared" si="23"/>
        <v>244</v>
      </c>
      <c r="M63" s="39">
        <f t="shared" si="24"/>
        <v>1573.4999999999998</v>
      </c>
      <c r="N63" s="5"/>
    </row>
    <row r="64" spans="1:14" s="11" customFormat="1" ht="12" customHeight="1">
      <c r="A64" s="40">
        <v>12</v>
      </c>
      <c r="B64" s="12" t="s">
        <v>183</v>
      </c>
      <c r="C64" s="12" t="s">
        <v>13</v>
      </c>
      <c r="D64" s="10">
        <v>11.4</v>
      </c>
      <c r="E64" s="34">
        <f t="shared" si="20"/>
        <v>178.4999999999999</v>
      </c>
      <c r="F64" s="33">
        <v>3.13</v>
      </c>
      <c r="G64" s="1">
        <f t="shared" si="21"/>
        <v>701</v>
      </c>
      <c r="H64" s="57">
        <v>27.6</v>
      </c>
      <c r="I64" s="3">
        <f t="shared" si="22"/>
        <v>208</v>
      </c>
      <c r="J64" s="52" t="s">
        <v>184</v>
      </c>
      <c r="K64" s="2">
        <v>135.4</v>
      </c>
      <c r="L64" s="38">
        <f t="shared" si="23"/>
        <v>206.19999999999982</v>
      </c>
      <c r="M64" s="39">
        <f t="shared" si="24"/>
        <v>1293.6999999999998</v>
      </c>
      <c r="N64" s="5"/>
    </row>
    <row r="65" spans="1:14" s="11" customFormat="1" ht="12" customHeight="1">
      <c r="A65" s="32">
        <v>13</v>
      </c>
      <c r="B65" s="41" t="s">
        <v>185</v>
      </c>
      <c r="C65" s="41" t="s">
        <v>19</v>
      </c>
      <c r="D65" s="10">
        <v>11.1</v>
      </c>
      <c r="E65" s="34">
        <f t="shared" si="20"/>
        <v>271.5000000000001</v>
      </c>
      <c r="F65" s="33">
        <v>3.01</v>
      </c>
      <c r="G65" s="1">
        <f t="shared" si="21"/>
        <v>676</v>
      </c>
      <c r="H65" s="57">
        <v>25.11</v>
      </c>
      <c r="I65" s="3">
        <f t="shared" si="22"/>
        <v>133</v>
      </c>
      <c r="J65" s="52" t="s">
        <v>186</v>
      </c>
      <c r="K65" s="2">
        <v>147.1</v>
      </c>
      <c r="L65" s="38">
        <f t="shared" si="23"/>
        <v>0</v>
      </c>
      <c r="M65" s="39">
        <f t="shared" si="24"/>
        <v>1080.5</v>
      </c>
      <c r="N65" s="5"/>
    </row>
    <row r="66" spans="1:14" s="11" customFormat="1" ht="12" customHeight="1">
      <c r="A66" s="60"/>
      <c r="D66" s="10"/>
      <c r="E66" s="34"/>
      <c r="F66" s="33"/>
      <c r="G66" s="1"/>
      <c r="H66" s="57"/>
      <c r="I66" s="3"/>
      <c r="J66" s="52"/>
      <c r="K66" s="2"/>
      <c r="L66" s="38"/>
      <c r="M66" s="39"/>
      <c r="N66" s="5"/>
    </row>
    <row r="67" spans="2:13" ht="23.25" customHeight="1">
      <c r="B67" s="43" t="s">
        <v>187</v>
      </c>
      <c r="C67" s="53"/>
      <c r="D67" s="65"/>
      <c r="E67" s="46"/>
      <c r="F67" s="33"/>
      <c r="G67" s="25"/>
      <c r="H67" s="57"/>
      <c r="I67" s="24"/>
      <c r="J67" s="52"/>
      <c r="K67" s="2"/>
      <c r="L67" s="38"/>
      <c r="M67" s="31"/>
    </row>
    <row r="68" spans="1:13" ht="12" customHeight="1">
      <c r="A68" s="32" t="s">
        <v>11</v>
      </c>
      <c r="B68" s="41" t="s">
        <v>188</v>
      </c>
      <c r="C68" s="41" t="s">
        <v>49</v>
      </c>
      <c r="D68" s="65">
        <v>9</v>
      </c>
      <c r="E68" s="34">
        <f aca="true" t="shared" si="25" ref="E68:E74">IF(D68=0,0,MAX(0,1000+10*(G_60_12-D68)*G_60_M))</f>
        <v>783.0000000000002</v>
      </c>
      <c r="F68" s="33">
        <v>3.66</v>
      </c>
      <c r="G68" s="1">
        <f aca="true" t="shared" si="26" ref="G68:G74">IF(F68=0,0,MAX(0,TRUNC(1000+100*(F68-G_L_12)*G_L_M)))</f>
        <v>729</v>
      </c>
      <c r="H68" s="57">
        <v>36.83</v>
      </c>
      <c r="I68" s="3">
        <f>IF(H68=0,0,IF(H68&gt;=G_B1_12,TRUNC(1000+(H68-G_B1_12)*100*G_pluss),IF(H68&gt;=G_B2_12,TRUNC(G_80P_12+(H68-G_B2_12)*100*G_opp),TRUNC(G_80P_12-(G_B2_12-H68)*100*G_ned))))</f>
        <v>268</v>
      </c>
      <c r="J68" s="37" t="s">
        <v>14</v>
      </c>
      <c r="K68" s="2">
        <v>115.8</v>
      </c>
      <c r="L68" s="38">
        <f aca="true" t="shared" si="27" ref="L68:L74">IF(K68=0,0,MAX(0,1000+10*(G_600_12-K68)*G_600_M))</f>
        <v>573.4000000000001</v>
      </c>
      <c r="M68" s="39">
        <f aca="true" t="shared" si="28" ref="M68:M74">SUM(E68,G68,I68,L68)</f>
        <v>2353.4000000000005</v>
      </c>
    </row>
    <row r="69" spans="1:13" ht="12" customHeight="1">
      <c r="A69" s="32">
        <v>2</v>
      </c>
      <c r="B69" s="11" t="s">
        <v>189</v>
      </c>
      <c r="C69" s="11" t="s">
        <v>47</v>
      </c>
      <c r="D69" s="65">
        <v>9.5</v>
      </c>
      <c r="E69" s="34">
        <f t="shared" si="25"/>
        <v>628.0000000000002</v>
      </c>
      <c r="F69" s="33">
        <v>4.13</v>
      </c>
      <c r="G69" s="1">
        <f t="shared" si="26"/>
        <v>827</v>
      </c>
      <c r="H69" s="57">
        <v>35.54</v>
      </c>
      <c r="I69" s="3">
        <f>IF(H69=0,0,IF(H69&gt;=G_B1_12,TRUNC(1000+(H69-G_B1_12)*100*G_pluss),IF(H69&gt;=G_B2_12,TRUNC(G_80P_12+(H69-G_B2_12)*100*G_opp),TRUNC(G_80P_12-(G_B2_12-H69)*100*G_ned))))</f>
        <v>230</v>
      </c>
      <c r="J69" s="37" t="s">
        <v>190</v>
      </c>
      <c r="K69" s="2">
        <v>116.1</v>
      </c>
      <c r="L69" s="38">
        <f t="shared" si="27"/>
        <v>565.3000000000002</v>
      </c>
      <c r="M69" s="39">
        <f t="shared" si="28"/>
        <v>2250.3</v>
      </c>
    </row>
    <row r="70" spans="1:13" ht="12" customHeight="1">
      <c r="A70" s="32" t="s">
        <v>17</v>
      </c>
      <c r="B70" s="41" t="s">
        <v>191</v>
      </c>
      <c r="C70" s="41" t="s">
        <v>19</v>
      </c>
      <c r="D70" s="65">
        <v>9.3</v>
      </c>
      <c r="E70" s="34">
        <f t="shared" si="25"/>
        <v>690</v>
      </c>
      <c r="F70" s="33">
        <v>4.3</v>
      </c>
      <c r="G70" s="1">
        <f t="shared" si="26"/>
        <v>863</v>
      </c>
      <c r="H70" s="57">
        <v>35.43</v>
      </c>
      <c r="I70" s="3">
        <f>IF(H70=0,0,IF(H70&gt;=G_B1_12,TRUNC(1000+(H70-G_B1_12)*100*G_pluss),IF(H70&gt;=G_B2_12,TRUNC(G_80P_12+(H70-G_B2_12)*100*G_opp),TRUNC(G_80P_12-(G_B2_12-H70)*100*G_ned))))</f>
        <v>226</v>
      </c>
      <c r="J70" s="37" t="s">
        <v>192</v>
      </c>
      <c r="K70" s="2">
        <v>125.5</v>
      </c>
      <c r="L70" s="38">
        <f t="shared" si="27"/>
        <v>311.5</v>
      </c>
      <c r="M70" s="39">
        <f t="shared" si="28"/>
        <v>2090.5</v>
      </c>
    </row>
    <row r="71" spans="1:13" ht="12" customHeight="1">
      <c r="A71" s="32">
        <v>4</v>
      </c>
      <c r="B71" s="41" t="s">
        <v>193</v>
      </c>
      <c r="C71" s="41" t="s">
        <v>19</v>
      </c>
      <c r="D71" s="65">
        <v>9.8</v>
      </c>
      <c r="E71" s="34">
        <f t="shared" si="25"/>
        <v>535</v>
      </c>
      <c r="F71" s="33">
        <v>3.98</v>
      </c>
      <c r="G71" s="1">
        <f t="shared" si="26"/>
        <v>796</v>
      </c>
      <c r="H71" s="57">
        <v>28.65</v>
      </c>
      <c r="I71" s="3">
        <f>IF(H71=0,0,IF(H71&gt;=G_B1_12,TRUNC(1000+(H71-G_B1_12)*100*G_pluss),IF(H71&gt;=G_B2_12,TRUNC(G_80P_12+(H71-G_B2_12)*100*G_opp),TRUNC(G_80P_12-(G_B2_12-H71)*100*G_ned))))</f>
        <v>23</v>
      </c>
      <c r="J71" s="37" t="s">
        <v>194</v>
      </c>
      <c r="K71" s="2">
        <v>117.2</v>
      </c>
      <c r="L71" s="38">
        <f t="shared" si="27"/>
        <v>535.5999999999999</v>
      </c>
      <c r="M71" s="39">
        <f t="shared" si="28"/>
        <v>1889.6</v>
      </c>
    </row>
    <row r="72" spans="1:13" ht="12" customHeight="1">
      <c r="A72" s="62">
        <v>5</v>
      </c>
      <c r="B72" s="12" t="s">
        <v>195</v>
      </c>
      <c r="C72" s="41" t="s">
        <v>49</v>
      </c>
      <c r="D72" s="65">
        <v>10.3</v>
      </c>
      <c r="E72" s="34">
        <f t="shared" si="25"/>
        <v>380</v>
      </c>
      <c r="F72" s="33">
        <v>3.37</v>
      </c>
      <c r="G72" s="1">
        <f t="shared" si="26"/>
        <v>668</v>
      </c>
      <c r="H72" s="57">
        <v>23.72</v>
      </c>
      <c r="I72" s="3">
        <v>0</v>
      </c>
      <c r="J72" s="37" t="s">
        <v>147</v>
      </c>
      <c r="K72" s="2">
        <v>130.7</v>
      </c>
      <c r="L72" s="38">
        <f t="shared" si="27"/>
        <v>171.10000000000025</v>
      </c>
      <c r="M72" s="39">
        <f t="shared" si="28"/>
        <v>1219.1000000000004</v>
      </c>
    </row>
    <row r="73" spans="1:14" s="11" customFormat="1" ht="12" customHeight="1">
      <c r="A73" s="32">
        <v>6</v>
      </c>
      <c r="B73" s="12" t="s">
        <v>196</v>
      </c>
      <c r="C73" s="41" t="s">
        <v>25</v>
      </c>
      <c r="D73" s="10">
        <v>9.9</v>
      </c>
      <c r="E73" s="34">
        <f t="shared" si="25"/>
        <v>504.0000000000001</v>
      </c>
      <c r="F73" s="33">
        <v>3.43</v>
      </c>
      <c r="G73" s="1">
        <f t="shared" si="26"/>
        <v>680</v>
      </c>
      <c r="H73" s="57">
        <v>27.03</v>
      </c>
      <c r="I73" s="3">
        <v>0</v>
      </c>
      <c r="J73" s="52" t="s">
        <v>197</v>
      </c>
      <c r="K73" s="2">
        <v>141.2</v>
      </c>
      <c r="L73" s="38">
        <f t="shared" si="27"/>
        <v>0</v>
      </c>
      <c r="M73" s="39">
        <f t="shared" si="28"/>
        <v>1184</v>
      </c>
      <c r="N73" s="5"/>
    </row>
    <row r="74" spans="1:13" ht="12" customHeight="1">
      <c r="A74" s="32">
        <v>7</v>
      </c>
      <c r="B74" s="11" t="s">
        <v>198</v>
      </c>
      <c r="C74" s="11" t="s">
        <v>47</v>
      </c>
      <c r="D74" s="65">
        <v>10.1</v>
      </c>
      <c r="E74" s="34">
        <f t="shared" si="25"/>
        <v>442.00000000000034</v>
      </c>
      <c r="F74" s="33">
        <v>3.49</v>
      </c>
      <c r="G74" s="1">
        <f t="shared" si="26"/>
        <v>693</v>
      </c>
      <c r="H74" s="57">
        <v>26.36</v>
      </c>
      <c r="I74" s="3">
        <v>0</v>
      </c>
      <c r="J74" s="37" t="s">
        <v>199</v>
      </c>
      <c r="K74" s="2"/>
      <c r="L74" s="38">
        <f t="shared" si="27"/>
        <v>0</v>
      </c>
      <c r="M74" s="39">
        <f t="shared" si="28"/>
        <v>1135.0000000000005</v>
      </c>
    </row>
    <row r="75" spans="1:13" ht="12" customHeight="1">
      <c r="A75" s="32"/>
      <c r="B75" s="41"/>
      <c r="C75" s="11"/>
      <c r="D75" s="65"/>
      <c r="E75" s="34"/>
      <c r="F75" s="33"/>
      <c r="H75" s="57"/>
      <c r="J75" s="37"/>
      <c r="K75" s="2"/>
      <c r="L75" s="38"/>
      <c r="M75" s="39"/>
    </row>
    <row r="76" spans="1:13" ht="12" customHeight="1">
      <c r="A76" s="32">
        <f>COUNTA(A5:A75)</f>
        <v>60</v>
      </c>
      <c r="B76" s="51"/>
      <c r="C76" s="32">
        <f>COUNTA(C5:C75)</f>
        <v>60</v>
      </c>
      <c r="D76" s="65"/>
      <c r="E76" s="34"/>
      <c r="F76" s="54"/>
      <c r="H76" s="57"/>
      <c r="J76" s="52"/>
      <c r="K76" s="2"/>
      <c r="L76" s="38"/>
      <c r="M76" s="39"/>
    </row>
    <row r="77" spans="1:13" ht="24" customHeight="1">
      <c r="A77" s="43" t="s">
        <v>200</v>
      </c>
      <c r="B77" s="55"/>
      <c r="C77" s="53"/>
      <c r="E77" s="34"/>
      <c r="F77" s="33"/>
      <c r="H77" s="57"/>
      <c r="J77" s="37"/>
      <c r="K77" s="2"/>
      <c r="L77" s="38"/>
      <c r="M77" s="39"/>
    </row>
  </sheetData>
  <sheetProtection password="C67C"/>
  <printOptions horizontalCentered="1"/>
  <pageMargins left="0.5511811023622047" right="0.3937007874015748" top="0.2362204724409449" bottom="0.21" header="0.84" footer="0.3"/>
  <pageSetup horizontalDpi="300" verticalDpi="300" orientation="landscape" paperSize="9" r:id="rId1"/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I32" sqref="I32"/>
    </sheetView>
  </sheetViews>
  <sheetFormatPr defaultColWidth="11.421875" defaultRowHeight="12.75" outlineLevelCol="1"/>
  <cols>
    <col min="1" max="1" width="4.7109375" style="4" customWidth="1"/>
    <col min="2" max="2" width="21.00390625" style="5" customWidth="1"/>
    <col min="3" max="3" width="15.421875" style="5" customWidth="1"/>
    <col min="4" max="4" width="6.28125" style="63" customWidth="1"/>
    <col min="5" max="5" width="6.28125" style="1" customWidth="1"/>
    <col min="6" max="6" width="7.7109375" style="6" customWidth="1"/>
    <col min="7" max="7" width="6.421875" style="1" customWidth="1"/>
    <col min="8" max="8" width="7.421875" style="7" customWidth="1"/>
    <col min="9" max="9" width="6.57421875" style="3" customWidth="1"/>
    <col min="10" max="10" width="7.140625" style="69" customWidth="1"/>
    <col min="11" max="11" width="6.421875" style="8" customWidth="1"/>
    <col min="12" max="12" width="6.00390625" style="8" customWidth="1"/>
    <col min="13" max="13" width="6.140625" style="8" customWidth="1"/>
    <col min="14" max="14" width="7.421875" style="9" customWidth="1"/>
    <col min="15" max="15" width="6.57421875" style="10" hidden="1" customWidth="1" outlineLevel="1"/>
    <col min="16" max="16" width="6.57421875" style="3" customWidth="1" collapsed="1"/>
    <col min="17" max="17" width="9.140625" style="14" customWidth="1"/>
    <col min="18" max="16384" width="9.140625" style="5" customWidth="1"/>
  </cols>
  <sheetData>
    <row r="1" ht="28.5" customHeight="1">
      <c r="A1" s="13" t="s">
        <v>5</v>
      </c>
    </row>
    <row r="2" ht="28.5" customHeight="1">
      <c r="A2" s="13" t="s">
        <v>6</v>
      </c>
    </row>
    <row r="3" spans="1:17" ht="19.5">
      <c r="A3" s="15"/>
      <c r="D3" s="21" t="s">
        <v>0</v>
      </c>
      <c r="E3" s="17"/>
      <c r="F3" s="16" t="s">
        <v>1</v>
      </c>
      <c r="G3" s="17"/>
      <c r="H3" s="18" t="s">
        <v>7</v>
      </c>
      <c r="I3" s="17"/>
      <c r="J3" s="70" t="s">
        <v>8</v>
      </c>
      <c r="K3" s="19"/>
      <c r="L3" s="19" t="s">
        <v>2</v>
      </c>
      <c r="M3" s="19"/>
      <c r="N3" s="20" t="s">
        <v>3</v>
      </c>
      <c r="O3" s="21" t="s">
        <v>4</v>
      </c>
      <c r="P3" s="22"/>
      <c r="Q3" s="23" t="s">
        <v>9</v>
      </c>
    </row>
    <row r="4" spans="1:17" s="3" customFormat="1" ht="12.75">
      <c r="A4" s="25"/>
      <c r="B4" s="25" t="s">
        <v>10</v>
      </c>
      <c r="C4" s="24"/>
      <c r="D4" s="64"/>
      <c r="E4" s="25"/>
      <c r="F4" s="26"/>
      <c r="G4" s="25"/>
      <c r="H4" s="27"/>
      <c r="I4" s="24"/>
      <c r="J4" s="71"/>
      <c r="K4" s="28"/>
      <c r="L4" s="28"/>
      <c r="M4" s="28"/>
      <c r="N4" s="29"/>
      <c r="O4" s="30"/>
      <c r="P4" s="24"/>
      <c r="Q4" s="31"/>
    </row>
    <row r="5" spans="1:17" ht="12" customHeight="1">
      <c r="A5" s="32" t="s">
        <v>11</v>
      </c>
      <c r="B5" s="12" t="s">
        <v>12</v>
      </c>
      <c r="C5" s="12" t="s">
        <v>13</v>
      </c>
      <c r="D5" s="65">
        <v>8.6</v>
      </c>
      <c r="E5" s="34">
        <f aca="true" t="shared" si="0" ref="E5:E10">IF(D5=0,0,MAX(0,1000+10*(J_60_13-D5)*J_60_M))</f>
        <v>946.0000000000002</v>
      </c>
      <c r="F5" s="33">
        <v>4.32</v>
      </c>
      <c r="G5" s="1">
        <f aca="true" t="shared" si="1" ref="G5:G10">IF(F5=0,0,MAX(0,TRUNC(1000+100*(F5-J_L_13)*J_L_M)))</f>
        <v>836</v>
      </c>
      <c r="H5" s="33">
        <v>8.11</v>
      </c>
      <c r="I5" s="3">
        <f aca="true" t="shared" si="2" ref="I5:I10">IF(H5=0,0,IF(H5&gt;=j_K1_13,TRUNC(1000+(H5-j_K1_13)*100*J_Kpluss),IF(H5&gt;=j_K2_13,TRUNC(J_80K_13+(H5-j_K2_13)*100*j_Kopp),TRUNC(J_80K_13-(j_K2_13-H5)*100*J_Kned))))</f>
        <v>749</v>
      </c>
      <c r="J5" s="72">
        <v>10.6</v>
      </c>
      <c r="K5" s="34">
        <f aca="true" t="shared" si="3" ref="K5:K10">IF(J5=0,0,MAX(0,1000+10*(J_HK_13-J5)*J_HK_M))</f>
        <v>880.0000000000001</v>
      </c>
      <c r="L5" s="36">
        <v>1.2</v>
      </c>
      <c r="M5" s="1">
        <f aca="true" t="shared" si="4" ref="M5:M10">IF(L5=0,0,MAX(0,TRUNC(1000+100*(L5-J_H_13)*J_H_M)))</f>
        <v>760</v>
      </c>
      <c r="N5" s="37" t="s">
        <v>14</v>
      </c>
      <c r="O5" s="2">
        <v>115.8</v>
      </c>
      <c r="P5" s="38">
        <f aca="true" t="shared" si="5" ref="P5:P10">IF(O5=0,0,MAX(0,1000+10*(J_600_13-O5)*J_600_M))</f>
        <v>702.4000000000002</v>
      </c>
      <c r="Q5" s="39">
        <f>SUM(E5,G5,I5,K5,M5,P5)</f>
        <v>4873.400000000001</v>
      </c>
    </row>
    <row r="6" spans="1:17" ht="12" customHeight="1">
      <c r="A6" s="40">
        <v>2</v>
      </c>
      <c r="B6" s="12" t="s">
        <v>15</v>
      </c>
      <c r="C6" s="12" t="s">
        <v>13</v>
      </c>
      <c r="D6" s="65">
        <v>9.5</v>
      </c>
      <c r="E6" s="34">
        <f t="shared" si="0"/>
        <v>703.0000000000001</v>
      </c>
      <c r="F6" s="33">
        <v>4.22</v>
      </c>
      <c r="G6" s="1">
        <f t="shared" si="1"/>
        <v>812</v>
      </c>
      <c r="H6" s="33">
        <v>10.44</v>
      </c>
      <c r="I6" s="3">
        <f t="shared" si="2"/>
        <v>960</v>
      </c>
      <c r="J6" s="72">
        <v>11.6</v>
      </c>
      <c r="K6" s="34">
        <f t="shared" si="3"/>
        <v>680</v>
      </c>
      <c r="L6" s="36">
        <v>1.35</v>
      </c>
      <c r="M6" s="1">
        <f t="shared" si="4"/>
        <v>880</v>
      </c>
      <c r="N6" s="37" t="s">
        <v>16</v>
      </c>
      <c r="O6" s="2">
        <v>116.7</v>
      </c>
      <c r="P6" s="38">
        <f t="shared" si="5"/>
        <v>680.8000000000001</v>
      </c>
      <c r="Q6" s="39">
        <f>SUM(E6,G6,I6,K6,M6,P6)</f>
        <v>4715.8</v>
      </c>
    </row>
    <row r="7" spans="1:17" ht="12" customHeight="1">
      <c r="A7" s="40" t="s">
        <v>17</v>
      </c>
      <c r="B7" s="12" t="s">
        <v>18</v>
      </c>
      <c r="C7" s="41" t="s">
        <v>19</v>
      </c>
      <c r="D7" s="65">
        <v>9.5</v>
      </c>
      <c r="E7" s="34">
        <f t="shared" si="0"/>
        <v>703.0000000000001</v>
      </c>
      <c r="F7" s="33">
        <v>4.05</v>
      </c>
      <c r="G7" s="1">
        <f t="shared" si="1"/>
        <v>772</v>
      </c>
      <c r="H7" s="33">
        <v>8.19</v>
      </c>
      <c r="I7" s="3">
        <f t="shared" si="2"/>
        <v>760</v>
      </c>
      <c r="J7" s="72">
        <v>11</v>
      </c>
      <c r="K7" s="34">
        <f t="shared" si="3"/>
        <v>800</v>
      </c>
      <c r="L7" s="36">
        <v>0.9</v>
      </c>
      <c r="M7" s="1">
        <f t="shared" si="4"/>
        <v>520</v>
      </c>
      <c r="N7" s="37" t="s">
        <v>20</v>
      </c>
      <c r="O7" s="2">
        <v>118.6</v>
      </c>
      <c r="P7" s="38">
        <f t="shared" si="5"/>
        <v>635.2000000000003</v>
      </c>
      <c r="Q7" s="39">
        <f>SUM(E7,G7,I7,K7,M7,P7)</f>
        <v>4190.200000000001</v>
      </c>
    </row>
    <row r="8" spans="1:17" ht="12" customHeight="1">
      <c r="A8" s="32">
        <v>4</v>
      </c>
      <c r="B8" s="41" t="s">
        <v>21</v>
      </c>
      <c r="C8" s="41" t="s">
        <v>22</v>
      </c>
      <c r="D8" s="65">
        <v>10</v>
      </c>
      <c r="E8" s="34">
        <f t="shared" si="0"/>
        <v>568.0000000000001</v>
      </c>
      <c r="F8" s="33">
        <v>3.67</v>
      </c>
      <c r="G8" s="1">
        <f t="shared" si="1"/>
        <v>680</v>
      </c>
      <c r="H8" s="33">
        <v>9.27</v>
      </c>
      <c r="I8" s="3">
        <f t="shared" si="2"/>
        <v>878</v>
      </c>
      <c r="J8" s="72">
        <v>12</v>
      </c>
      <c r="K8" s="34">
        <f t="shared" si="3"/>
        <v>600</v>
      </c>
      <c r="L8" s="36">
        <v>1.35</v>
      </c>
      <c r="M8" s="1">
        <f t="shared" si="4"/>
        <v>880</v>
      </c>
      <c r="N8" s="37" t="s">
        <v>23</v>
      </c>
      <c r="O8" s="2">
        <v>132.6</v>
      </c>
      <c r="P8" s="38">
        <f t="shared" si="5"/>
        <v>299.2000000000003</v>
      </c>
      <c r="Q8" s="39">
        <f>SUM(E8,G8,I8,K8,M8,P8)</f>
        <v>3905.2000000000003</v>
      </c>
    </row>
    <row r="9" spans="1:17" ht="12" customHeight="1">
      <c r="A9" s="32">
        <v>5</v>
      </c>
      <c r="B9" s="12" t="s">
        <v>24</v>
      </c>
      <c r="C9" s="41" t="s">
        <v>25</v>
      </c>
      <c r="D9" s="65">
        <v>9.4</v>
      </c>
      <c r="E9" s="34">
        <f t="shared" si="0"/>
        <v>730</v>
      </c>
      <c r="F9" s="33">
        <v>3.78</v>
      </c>
      <c r="G9" s="1">
        <f t="shared" si="1"/>
        <v>707</v>
      </c>
      <c r="H9" s="33">
        <v>7.44</v>
      </c>
      <c r="I9" s="3">
        <f t="shared" si="2"/>
        <v>655</v>
      </c>
      <c r="J9" s="72">
        <v>11.9</v>
      </c>
      <c r="K9" s="34">
        <f t="shared" si="3"/>
        <v>620</v>
      </c>
      <c r="L9" s="36">
        <v>1.2</v>
      </c>
      <c r="M9" s="1">
        <f t="shared" si="4"/>
        <v>760</v>
      </c>
      <c r="N9" s="37" t="s">
        <v>26</v>
      </c>
      <c r="O9" s="2">
        <v>131.6</v>
      </c>
      <c r="P9" s="38">
        <f t="shared" si="5"/>
        <v>323.2000000000003</v>
      </c>
      <c r="Q9" s="39">
        <f>SUM(E9,G9,I9,K9,M9,P9)</f>
        <v>3795.2000000000003</v>
      </c>
    </row>
    <row r="10" spans="1:17" ht="12" customHeight="1">
      <c r="A10" s="32" t="s">
        <v>27</v>
      </c>
      <c r="B10" s="41" t="s">
        <v>28</v>
      </c>
      <c r="C10" s="41" t="s">
        <v>22</v>
      </c>
      <c r="D10" s="65">
        <v>8.6</v>
      </c>
      <c r="E10" s="34">
        <f t="shared" si="0"/>
        <v>946.0000000000002</v>
      </c>
      <c r="F10" s="33">
        <v>4.78</v>
      </c>
      <c r="G10" s="1">
        <f t="shared" si="1"/>
        <v>947</v>
      </c>
      <c r="H10" s="33">
        <v>8.56</v>
      </c>
      <c r="I10" s="3">
        <f t="shared" si="2"/>
        <v>812</v>
      </c>
      <c r="J10" s="72">
        <v>10.2</v>
      </c>
      <c r="K10" s="34">
        <f t="shared" si="3"/>
        <v>960.0000000000001</v>
      </c>
      <c r="L10" s="36">
        <v>1.25</v>
      </c>
      <c r="M10" s="1">
        <f t="shared" si="4"/>
        <v>800</v>
      </c>
      <c r="N10" s="37" t="s">
        <v>29</v>
      </c>
      <c r="O10" s="2"/>
      <c r="P10" s="38">
        <f t="shared" si="5"/>
        <v>0</v>
      </c>
      <c r="Q10" s="39"/>
    </row>
    <row r="11" spans="4:17" ht="12" customHeight="1">
      <c r="D11" s="65"/>
      <c r="E11" s="34"/>
      <c r="F11" s="5"/>
      <c r="H11" s="5"/>
      <c r="J11" s="72"/>
      <c r="K11" s="34"/>
      <c r="L11" s="36"/>
      <c r="M11" s="1"/>
      <c r="N11" s="37"/>
      <c r="O11" s="2"/>
      <c r="P11" s="38"/>
      <c r="Q11" s="39"/>
    </row>
    <row r="12" spans="1:17" ht="19.5">
      <c r="A12" s="15"/>
      <c r="D12" s="21" t="s">
        <v>0</v>
      </c>
      <c r="E12" s="17"/>
      <c r="F12" s="16" t="s">
        <v>1</v>
      </c>
      <c r="G12" s="17"/>
      <c r="H12" s="18" t="s">
        <v>30</v>
      </c>
      <c r="I12" s="17"/>
      <c r="J12" s="70" t="s">
        <v>31</v>
      </c>
      <c r="K12" s="19"/>
      <c r="L12" s="19" t="s">
        <v>2</v>
      </c>
      <c r="M12" s="19"/>
      <c r="N12" s="20" t="s">
        <v>3</v>
      </c>
      <c r="O12" s="21" t="s">
        <v>4</v>
      </c>
      <c r="P12" s="22"/>
      <c r="Q12" s="23"/>
    </row>
    <row r="13" spans="1:17" s="3" customFormat="1" ht="13.5" customHeight="1">
      <c r="A13" s="43"/>
      <c r="B13" s="43" t="s">
        <v>32</v>
      </c>
      <c r="C13" s="44"/>
      <c r="D13" s="66"/>
      <c r="E13" s="46"/>
      <c r="F13" s="45"/>
      <c r="G13" s="25"/>
      <c r="H13" s="45"/>
      <c r="I13" s="24"/>
      <c r="J13" s="73"/>
      <c r="K13" s="47"/>
      <c r="L13" s="48"/>
      <c r="M13" s="47"/>
      <c r="N13" s="49"/>
      <c r="O13" s="50"/>
      <c r="P13" s="38"/>
      <c r="Q13" s="39"/>
    </row>
    <row r="14" spans="1:17" ht="12.75">
      <c r="A14" s="32" t="s">
        <v>17</v>
      </c>
      <c r="B14" s="41" t="s">
        <v>33</v>
      </c>
      <c r="C14" s="41" t="s">
        <v>22</v>
      </c>
      <c r="D14" s="65">
        <v>8.3</v>
      </c>
      <c r="E14" s="34">
        <f aca="true" t="shared" si="6" ref="E14:E24">IF(D14=0,0,MAX(0,1000+10*(J_60_14-D14)*J_60_M))</f>
        <v>986.4999999999998</v>
      </c>
      <c r="F14" s="33">
        <v>4.82</v>
      </c>
      <c r="G14" s="1">
        <f aca="true" t="shared" si="7" ref="G14:G24">IF(F14=0,0,MAX(0,TRUNC(1000+100*(F14-J_L_14)*J_L_M)))</f>
        <v>908</v>
      </c>
      <c r="H14" s="33">
        <v>8.71</v>
      </c>
      <c r="I14" s="3">
        <f aca="true" t="shared" si="8" ref="I14:I24">IF(H14=0,0,IF(H14&gt;=j_K1_14,TRUNC(1000+(H14-j_K1_14)*100*J_Kpluss),IF(H14&gt;=j_K2_14,TRUNC(J_80K_14+(H14-j_K2_14)*100*j_Kopp),TRUNC(J_80K_14-(j_K2_14-H14)*100*J_Kned))))</f>
        <v>833</v>
      </c>
      <c r="J14" s="72">
        <v>9.6</v>
      </c>
      <c r="K14" s="34">
        <f aca="true" t="shared" si="9" ref="K14:K22">IF(J14=0,0,MAX(0,1000+10*(J_HK_14-J14)*J_HK_M))</f>
        <v>1040.0000000000002</v>
      </c>
      <c r="L14" s="36">
        <v>1.4</v>
      </c>
      <c r="M14" s="1">
        <f aca="true" t="shared" si="10" ref="M14:M24">IF(L14=0,0,MAX(0,TRUNC(1000+100*(L14-J_H_14)*J_H_M)))</f>
        <v>872</v>
      </c>
      <c r="N14" s="37" t="s">
        <v>34</v>
      </c>
      <c r="O14" s="2">
        <v>113.1</v>
      </c>
      <c r="P14" s="38">
        <f aca="true" t="shared" si="11" ref="P14:P24">IF(O14=0,0,MAX(0,1000+10*(J_600_14-O14)*J_600_M))</f>
        <v>724</v>
      </c>
      <c r="Q14" s="39">
        <f aca="true" t="shared" si="12" ref="Q14:Q22">SUM(E14,G14,I14,K14,M14,P14)</f>
        <v>5363.5</v>
      </c>
    </row>
    <row r="15" spans="1:17" ht="12.75">
      <c r="A15" s="32">
        <v>2</v>
      </c>
      <c r="B15" s="41" t="s">
        <v>35</v>
      </c>
      <c r="C15" s="41" t="s">
        <v>36</v>
      </c>
      <c r="D15" s="65">
        <v>8.2</v>
      </c>
      <c r="E15" s="34">
        <f t="shared" si="6"/>
        <v>1013.5000000000002</v>
      </c>
      <c r="F15" s="33">
        <v>4.69</v>
      </c>
      <c r="G15" s="1">
        <f t="shared" si="7"/>
        <v>877</v>
      </c>
      <c r="H15" s="33">
        <v>8.37</v>
      </c>
      <c r="I15" s="3">
        <f t="shared" si="8"/>
        <v>785</v>
      </c>
      <c r="J15" s="72">
        <v>9.8</v>
      </c>
      <c r="K15" s="34">
        <f t="shared" si="9"/>
        <v>1000</v>
      </c>
      <c r="L15" s="36">
        <v>1.6</v>
      </c>
      <c r="M15" s="1">
        <f t="shared" si="10"/>
        <v>1032</v>
      </c>
      <c r="N15" s="37" t="s">
        <v>37</v>
      </c>
      <c r="O15" s="2">
        <v>118.3</v>
      </c>
      <c r="P15" s="38">
        <f t="shared" si="11"/>
        <v>599.1999999999999</v>
      </c>
      <c r="Q15" s="39">
        <f t="shared" si="12"/>
        <v>5306.7</v>
      </c>
    </row>
    <row r="16" spans="1:17" ht="12" customHeight="1">
      <c r="A16" s="32">
        <v>3</v>
      </c>
      <c r="B16" s="41" t="s">
        <v>38</v>
      </c>
      <c r="C16" s="41" t="s">
        <v>39</v>
      </c>
      <c r="D16" s="65">
        <v>8.9</v>
      </c>
      <c r="E16" s="34">
        <f t="shared" si="6"/>
        <v>824.4999999999999</v>
      </c>
      <c r="F16" s="33">
        <v>4.58</v>
      </c>
      <c r="G16" s="1">
        <f t="shared" si="7"/>
        <v>851</v>
      </c>
      <c r="H16" s="33">
        <v>8.8</v>
      </c>
      <c r="I16" s="3">
        <f t="shared" si="8"/>
        <v>846</v>
      </c>
      <c r="J16" s="72">
        <v>10.3</v>
      </c>
      <c r="K16" s="34">
        <f t="shared" si="9"/>
        <v>900</v>
      </c>
      <c r="L16" s="36">
        <v>1.55</v>
      </c>
      <c r="M16" s="1">
        <f t="shared" si="10"/>
        <v>992</v>
      </c>
      <c r="N16" s="37" t="s">
        <v>40</v>
      </c>
      <c r="O16" s="2">
        <v>116.4</v>
      </c>
      <c r="P16" s="38">
        <f t="shared" si="11"/>
        <v>644.7999999999997</v>
      </c>
      <c r="Q16" s="39">
        <f t="shared" si="12"/>
        <v>5058.299999999999</v>
      </c>
    </row>
    <row r="17" spans="1:17" ht="12" customHeight="1">
      <c r="A17" s="32" t="s">
        <v>11</v>
      </c>
      <c r="B17" s="42" t="s">
        <v>41</v>
      </c>
      <c r="C17" s="51" t="s">
        <v>42</v>
      </c>
      <c r="D17" s="65">
        <v>8.4</v>
      </c>
      <c r="E17" s="34">
        <f t="shared" si="6"/>
        <v>959.4999999999999</v>
      </c>
      <c r="F17" s="33">
        <v>4.22</v>
      </c>
      <c r="G17" s="1">
        <f t="shared" si="7"/>
        <v>764</v>
      </c>
      <c r="H17" s="33">
        <v>5.99</v>
      </c>
      <c r="I17" s="3">
        <f t="shared" si="8"/>
        <v>452</v>
      </c>
      <c r="J17" s="72">
        <v>11.5</v>
      </c>
      <c r="K17" s="34">
        <f t="shared" si="9"/>
        <v>660.0000000000001</v>
      </c>
      <c r="L17" s="36">
        <v>1.3</v>
      </c>
      <c r="M17" s="1">
        <f t="shared" si="10"/>
        <v>792</v>
      </c>
      <c r="N17" s="37" t="s">
        <v>43</v>
      </c>
      <c r="O17" s="2">
        <v>110.4</v>
      </c>
      <c r="P17" s="38">
        <f t="shared" si="11"/>
        <v>788.7999999999997</v>
      </c>
      <c r="Q17" s="39">
        <f t="shared" si="12"/>
        <v>4416.299999999999</v>
      </c>
    </row>
    <row r="18" spans="1:17" ht="12.75">
      <c r="A18" s="40">
        <v>5</v>
      </c>
      <c r="B18" s="12" t="s">
        <v>44</v>
      </c>
      <c r="C18" s="12" t="s">
        <v>13</v>
      </c>
      <c r="D18" s="65">
        <v>9.2</v>
      </c>
      <c r="E18" s="34">
        <f t="shared" si="6"/>
        <v>743.5000000000002</v>
      </c>
      <c r="F18" s="33">
        <v>4.54</v>
      </c>
      <c r="G18" s="1">
        <f t="shared" si="7"/>
        <v>841</v>
      </c>
      <c r="H18" s="33">
        <v>6.43</v>
      </c>
      <c r="I18" s="3">
        <f t="shared" si="8"/>
        <v>514</v>
      </c>
      <c r="J18" s="72">
        <v>11.2</v>
      </c>
      <c r="K18" s="34">
        <f t="shared" si="9"/>
        <v>720.0000000000002</v>
      </c>
      <c r="L18" s="36">
        <v>1.05</v>
      </c>
      <c r="M18" s="1">
        <f t="shared" si="10"/>
        <v>592</v>
      </c>
      <c r="N18" s="37" t="s">
        <v>45</v>
      </c>
      <c r="O18" s="2">
        <v>115.2</v>
      </c>
      <c r="P18" s="38">
        <f t="shared" si="11"/>
        <v>673.5999999999998</v>
      </c>
      <c r="Q18" s="39">
        <f t="shared" si="12"/>
        <v>4084.1</v>
      </c>
    </row>
    <row r="19" spans="1:17" ht="12.75">
      <c r="A19" s="32">
        <v>6</v>
      </c>
      <c r="B19" s="11" t="s">
        <v>46</v>
      </c>
      <c r="C19" s="11" t="s">
        <v>47</v>
      </c>
      <c r="D19" s="65">
        <v>9.3</v>
      </c>
      <c r="E19" s="34">
        <f t="shared" si="6"/>
        <v>716.4999999999998</v>
      </c>
      <c r="F19" s="33">
        <v>3.94</v>
      </c>
      <c r="G19" s="1">
        <f t="shared" si="7"/>
        <v>697</v>
      </c>
      <c r="H19" s="33">
        <v>6.66</v>
      </c>
      <c r="I19" s="3">
        <f t="shared" si="8"/>
        <v>546</v>
      </c>
      <c r="J19" s="72">
        <v>11.5</v>
      </c>
      <c r="K19" s="34">
        <f t="shared" si="9"/>
        <v>660.0000000000001</v>
      </c>
      <c r="L19" s="36">
        <v>1.35</v>
      </c>
      <c r="M19" s="1">
        <f t="shared" si="10"/>
        <v>832</v>
      </c>
      <c r="N19" s="37" t="s">
        <v>37</v>
      </c>
      <c r="O19" s="2">
        <v>118.3</v>
      </c>
      <c r="P19" s="38">
        <f t="shared" si="11"/>
        <v>599.1999999999999</v>
      </c>
      <c r="Q19" s="39">
        <f t="shared" si="12"/>
        <v>4050.7</v>
      </c>
    </row>
    <row r="20" spans="1:17" ht="12.75">
      <c r="A20" s="32">
        <v>7</v>
      </c>
      <c r="B20" s="41" t="s">
        <v>48</v>
      </c>
      <c r="C20" s="41" t="s">
        <v>49</v>
      </c>
      <c r="D20" s="65">
        <v>9.5</v>
      </c>
      <c r="E20" s="34">
        <f t="shared" si="6"/>
        <v>662.5</v>
      </c>
      <c r="F20" s="33">
        <v>3.91</v>
      </c>
      <c r="G20" s="1">
        <f t="shared" si="7"/>
        <v>690</v>
      </c>
      <c r="H20" s="33">
        <v>4.66</v>
      </c>
      <c r="I20" s="3">
        <f t="shared" si="8"/>
        <v>266</v>
      </c>
      <c r="J20" s="72">
        <v>11.6</v>
      </c>
      <c r="K20" s="34">
        <f t="shared" si="9"/>
        <v>640.0000000000002</v>
      </c>
      <c r="L20" s="36">
        <v>1.25</v>
      </c>
      <c r="M20" s="1">
        <f t="shared" si="10"/>
        <v>752</v>
      </c>
      <c r="N20" s="37" t="s">
        <v>37</v>
      </c>
      <c r="O20" s="2">
        <v>118.3</v>
      </c>
      <c r="P20" s="38">
        <f t="shared" si="11"/>
        <v>599.1999999999999</v>
      </c>
      <c r="Q20" s="39">
        <f t="shared" si="12"/>
        <v>3609.7</v>
      </c>
    </row>
    <row r="21" spans="1:17" ht="12.75">
      <c r="A21" s="32">
        <v>8</v>
      </c>
      <c r="B21" s="11" t="s">
        <v>50</v>
      </c>
      <c r="C21" s="11" t="s">
        <v>47</v>
      </c>
      <c r="D21" s="65">
        <v>9.8</v>
      </c>
      <c r="E21" s="34">
        <f t="shared" si="6"/>
        <v>581.4999999999998</v>
      </c>
      <c r="F21" s="33">
        <v>4.02</v>
      </c>
      <c r="G21" s="1">
        <f t="shared" si="7"/>
        <v>716</v>
      </c>
      <c r="H21" s="33">
        <v>4.99</v>
      </c>
      <c r="I21" s="3">
        <f t="shared" si="8"/>
        <v>312</v>
      </c>
      <c r="J21" s="72">
        <v>14.5</v>
      </c>
      <c r="K21" s="34">
        <f t="shared" si="9"/>
        <v>60.000000000000114</v>
      </c>
      <c r="L21" s="36">
        <v>1.25</v>
      </c>
      <c r="M21" s="1">
        <f t="shared" si="10"/>
        <v>752</v>
      </c>
      <c r="N21" s="37" t="s">
        <v>51</v>
      </c>
      <c r="O21" s="2">
        <v>114.6</v>
      </c>
      <c r="P21" s="38">
        <f t="shared" si="11"/>
        <v>688</v>
      </c>
      <c r="Q21" s="39">
        <f t="shared" si="12"/>
        <v>3109.5</v>
      </c>
    </row>
    <row r="22" spans="1:17" ht="12.75">
      <c r="A22" s="32">
        <v>9</v>
      </c>
      <c r="B22" s="11" t="s">
        <v>52</v>
      </c>
      <c r="C22" s="11" t="s">
        <v>47</v>
      </c>
      <c r="D22" s="65">
        <v>9.9</v>
      </c>
      <c r="E22" s="34">
        <f t="shared" si="6"/>
        <v>554.4999999999999</v>
      </c>
      <c r="F22" s="33">
        <v>3.86</v>
      </c>
      <c r="G22" s="1">
        <f t="shared" si="7"/>
        <v>678</v>
      </c>
      <c r="H22" s="33">
        <v>6.97</v>
      </c>
      <c r="I22" s="3">
        <f t="shared" si="8"/>
        <v>589</v>
      </c>
      <c r="J22" s="72">
        <v>12.9</v>
      </c>
      <c r="K22" s="34">
        <f t="shared" si="9"/>
        <v>380.0000000000001</v>
      </c>
      <c r="L22" s="36">
        <v>1</v>
      </c>
      <c r="M22" s="1">
        <f t="shared" si="10"/>
        <v>552</v>
      </c>
      <c r="N22" s="37" t="s">
        <v>53</v>
      </c>
      <c r="O22" s="2">
        <v>130.9</v>
      </c>
      <c r="P22" s="38">
        <f t="shared" si="11"/>
        <v>296.7999999999997</v>
      </c>
      <c r="Q22" s="39">
        <f t="shared" si="12"/>
        <v>3050.2999999999997</v>
      </c>
    </row>
    <row r="23" spans="1:17" ht="12.75">
      <c r="A23" s="40" t="s">
        <v>27</v>
      </c>
      <c r="B23" s="41" t="s">
        <v>54</v>
      </c>
      <c r="C23" s="41" t="s">
        <v>19</v>
      </c>
      <c r="D23" s="65">
        <v>9.1</v>
      </c>
      <c r="E23" s="34">
        <f t="shared" si="6"/>
        <v>770.5000000000001</v>
      </c>
      <c r="F23" s="33">
        <v>3.74</v>
      </c>
      <c r="G23" s="1">
        <f t="shared" si="7"/>
        <v>649</v>
      </c>
      <c r="H23" s="33">
        <v>5.69</v>
      </c>
      <c r="I23" s="3">
        <f t="shared" si="8"/>
        <v>410</v>
      </c>
      <c r="J23" s="74" t="s">
        <v>29</v>
      </c>
      <c r="K23" s="34">
        <v>0</v>
      </c>
      <c r="L23" s="36"/>
      <c r="M23" s="1">
        <f t="shared" si="10"/>
        <v>0</v>
      </c>
      <c r="N23" s="37"/>
      <c r="O23" s="2"/>
      <c r="P23" s="38">
        <f t="shared" si="11"/>
        <v>0</v>
      </c>
      <c r="Q23" s="39"/>
    </row>
    <row r="24" spans="1:17" ht="12.75">
      <c r="A24" s="32" t="s">
        <v>27</v>
      </c>
      <c r="B24" s="41" t="s">
        <v>55</v>
      </c>
      <c r="C24" s="41" t="s">
        <v>49</v>
      </c>
      <c r="D24" s="65">
        <v>10.1</v>
      </c>
      <c r="E24" s="34">
        <f t="shared" si="6"/>
        <v>500.5000000000001</v>
      </c>
      <c r="F24" s="33">
        <v>3.32</v>
      </c>
      <c r="G24" s="1">
        <f t="shared" si="7"/>
        <v>548</v>
      </c>
      <c r="H24" s="33">
        <v>5.93</v>
      </c>
      <c r="I24" s="3">
        <f t="shared" si="8"/>
        <v>444</v>
      </c>
      <c r="J24" s="74" t="s">
        <v>29</v>
      </c>
      <c r="K24" s="34">
        <v>0</v>
      </c>
      <c r="L24" s="36"/>
      <c r="M24" s="1">
        <f t="shared" si="10"/>
        <v>0</v>
      </c>
      <c r="N24" s="37"/>
      <c r="O24" s="2"/>
      <c r="P24" s="38">
        <f t="shared" si="11"/>
        <v>0</v>
      </c>
      <c r="Q24" s="39"/>
    </row>
    <row r="25" spans="1:17" ht="12.75">
      <c r="A25" s="32"/>
      <c r="B25" s="41"/>
      <c r="C25" s="41"/>
      <c r="D25" s="67"/>
      <c r="E25" s="34"/>
      <c r="F25" s="33"/>
      <c r="H25" s="33"/>
      <c r="J25" s="72"/>
      <c r="K25" s="34"/>
      <c r="L25" s="36"/>
      <c r="M25" s="1"/>
      <c r="N25" s="37"/>
      <c r="O25" s="2"/>
      <c r="P25" s="38"/>
      <c r="Q25" s="39"/>
    </row>
    <row r="26" spans="1:17" ht="19.5">
      <c r="A26" s="15"/>
      <c r="D26" s="21" t="s">
        <v>0</v>
      </c>
      <c r="E26" s="17"/>
      <c r="F26" s="16" t="s">
        <v>1</v>
      </c>
      <c r="G26" s="17"/>
      <c r="H26" s="18" t="s">
        <v>30</v>
      </c>
      <c r="I26" s="17"/>
      <c r="J26" s="70" t="s">
        <v>31</v>
      </c>
      <c r="K26" s="19"/>
      <c r="L26" s="19" t="s">
        <v>2</v>
      </c>
      <c r="M26" s="19"/>
      <c r="N26" s="20" t="s">
        <v>3</v>
      </c>
      <c r="O26" s="21" t="s">
        <v>4</v>
      </c>
      <c r="P26" s="22"/>
      <c r="Q26" s="23"/>
    </row>
    <row r="27" spans="1:17" ht="12.75" customHeight="1">
      <c r="A27" s="43"/>
      <c r="B27" s="43" t="s">
        <v>56</v>
      </c>
      <c r="C27" s="53"/>
      <c r="D27" s="65"/>
      <c r="E27" s="34"/>
      <c r="F27" s="33"/>
      <c r="H27" s="33"/>
      <c r="J27" s="72"/>
      <c r="K27" s="35"/>
      <c r="L27" s="36"/>
      <c r="M27" s="35"/>
      <c r="N27" s="37"/>
      <c r="O27" s="2"/>
      <c r="P27" s="38"/>
      <c r="Q27" s="39"/>
    </row>
    <row r="28" spans="1:17" ht="12" customHeight="1">
      <c r="A28" s="32" t="s">
        <v>17</v>
      </c>
      <c r="B28" s="41" t="s">
        <v>57</v>
      </c>
      <c r="C28" s="41" t="s">
        <v>36</v>
      </c>
      <c r="D28" s="65">
        <v>8.6</v>
      </c>
      <c r="E28" s="34">
        <f>IF(D28=0,0,MAX(0,1000+10*(G_60_13-D28)*G_60_M))</f>
        <v>798.5000000000002</v>
      </c>
      <c r="F28" s="33">
        <v>4.63</v>
      </c>
      <c r="G28" s="1">
        <f>IF(F28=0,0,MAX(0,TRUNC(1000+100*(F28-G_L_13)*G_L_M)))</f>
        <v>848</v>
      </c>
      <c r="H28" s="33">
        <v>10.24</v>
      </c>
      <c r="I28" s="3">
        <f>IF(H28=0,0,IF(H28&gt;=G_K1_13,TRUNC(1000+(H28-G_K1_13)*100*G_Kpluss),IF(H28&gt;=G_K2_13,TRUNC(G_80K_13+(H28-G_K2_13)*100*G_Kopp),TRUNC(G_80K_13-(G_K2_13-H28)*100*G_Kned))))</f>
        <v>792</v>
      </c>
      <c r="J28" s="72">
        <v>11.7</v>
      </c>
      <c r="K28" s="34">
        <f>IF(J28=0,0,MAX(0,1000+10*(G_HK_13-J28)*G_HK_M13))</f>
        <v>520</v>
      </c>
      <c r="L28" s="36">
        <v>1.45</v>
      </c>
      <c r="M28" s="1">
        <f>IF(L28=0,0,MAX(0,TRUNC(1000+100*(L28-G_H_13)*G_H_M)))</f>
        <v>888</v>
      </c>
      <c r="N28" s="52" t="s">
        <v>40</v>
      </c>
      <c r="O28" s="2">
        <v>116.4</v>
      </c>
      <c r="P28" s="38">
        <f>IF(O28=0,0,MAX(0,1000+10*(G_600_13-O28)*G_600_M))</f>
        <v>422.1999999999998</v>
      </c>
      <c r="Q28" s="39">
        <f>SUM(E28,G28,I28,K28,M28,P28)</f>
        <v>4268.7</v>
      </c>
    </row>
    <row r="29" spans="1:17" ht="12" customHeight="1">
      <c r="A29" s="32" t="s">
        <v>11</v>
      </c>
      <c r="B29" s="42" t="s">
        <v>58</v>
      </c>
      <c r="C29" s="11" t="s">
        <v>13</v>
      </c>
      <c r="D29" s="65">
        <v>8.9</v>
      </c>
      <c r="E29" s="34">
        <f>IF(D29=0,0,MAX(0,1000+10*(G_60_13-D29)*G_60_M))</f>
        <v>705.5</v>
      </c>
      <c r="F29" s="33">
        <v>4.54</v>
      </c>
      <c r="G29" s="1">
        <f>IF(F29=0,0,MAX(0,TRUNC(1000+100*(F29-G_L_13)*G_L_M)))</f>
        <v>829</v>
      </c>
      <c r="H29" s="33">
        <v>9.44</v>
      </c>
      <c r="I29" s="3">
        <f>IF(H29=0,0,IF(H29&gt;=G_K1_13,TRUNC(1000+(H29-G_K1_13)*100*G_Kpluss),IF(H29&gt;=G_K2_13,TRUNC(G_80K_13+(H29-G_K2_13)*100*G_Kopp),TRUNC(G_80K_13-(G_K2_13-H29)*100*G_Kned))))</f>
        <v>696</v>
      </c>
      <c r="J29" s="72">
        <v>10.7</v>
      </c>
      <c r="K29" s="34">
        <f>IF(J29=0,0,MAX(0,1000+10*(G_HK_13-J29)*G_HK_M13))</f>
        <v>760</v>
      </c>
      <c r="L29" s="36">
        <v>1.3</v>
      </c>
      <c r="M29" s="1">
        <f>IF(L29=0,0,MAX(0,TRUNC(1000+100*(L29-G_H_13)*G_H_M)))</f>
        <v>783</v>
      </c>
      <c r="N29" s="52" t="s">
        <v>59</v>
      </c>
      <c r="O29" s="2">
        <v>121</v>
      </c>
      <c r="P29" s="38">
        <f>IF(O29=0,0,MAX(0,1000+10*(G_600_13-O29)*G_600_M))</f>
        <v>298</v>
      </c>
      <c r="Q29" s="39">
        <f>SUM(E29,G29,I29,K29,M29,P29)</f>
        <v>4071.5</v>
      </c>
    </row>
    <row r="30" spans="1:17" ht="12" customHeight="1">
      <c r="A30" s="32">
        <v>3</v>
      </c>
      <c r="B30" s="42" t="s">
        <v>60</v>
      </c>
      <c r="C30" s="11" t="s">
        <v>47</v>
      </c>
      <c r="D30" s="65">
        <v>9.4</v>
      </c>
      <c r="E30" s="34">
        <f>IF(D30=0,0,MAX(0,1000+10*(G_60_13-D30)*G_60_M))</f>
        <v>550.5</v>
      </c>
      <c r="F30" s="33">
        <v>4.3</v>
      </c>
      <c r="G30" s="1">
        <f>IF(F30=0,0,MAX(0,TRUNC(1000+100*(F30-G_L_13)*G_L_M)))</f>
        <v>779</v>
      </c>
      <c r="H30" s="33">
        <v>7.35</v>
      </c>
      <c r="I30" s="3">
        <f>IF(H30=0,0,IF(H30&gt;=G_K1_13,TRUNC(1000+(H30-G_K1_13)*100*G_Kpluss),IF(H30&gt;=G_K2_13,TRUNC(G_80K_13+(H30-G_K2_13)*100*G_Kopp),TRUNC(G_80K_13-(G_K2_13-H30)*100*G_Kned))))</f>
        <v>445</v>
      </c>
      <c r="J30" s="72">
        <v>11.8</v>
      </c>
      <c r="K30" s="34">
        <f>IF(J30=0,0,MAX(0,1000+10*(G_HK_13-J30)*G_HK_M13))</f>
        <v>495.99999999999966</v>
      </c>
      <c r="L30" s="36">
        <v>1.4</v>
      </c>
      <c r="M30" s="1">
        <f>IF(L30=0,0,MAX(0,TRUNC(1000+100*(L30-G_H_13)*G_H_M)))</f>
        <v>853</v>
      </c>
      <c r="N30" s="52" t="s">
        <v>61</v>
      </c>
      <c r="O30" s="2">
        <v>118.7</v>
      </c>
      <c r="P30" s="38">
        <f>IF(O30=0,0,MAX(0,1000+10*(G_600_13-O30)*G_600_M))</f>
        <v>360.0999999999999</v>
      </c>
      <c r="Q30" s="39">
        <f>SUM(E30,G30,I30,K30,M30,P30)</f>
        <v>3483.5999999999995</v>
      </c>
    </row>
    <row r="31" spans="1:17" ht="12" customHeight="1">
      <c r="A31" s="42"/>
      <c r="B31" s="42"/>
      <c r="C31" s="42"/>
      <c r="D31" s="65"/>
      <c r="E31" s="34"/>
      <c r="F31" s="33"/>
      <c r="H31" s="33"/>
      <c r="J31" s="72"/>
      <c r="K31" s="34"/>
      <c r="L31" s="36"/>
      <c r="M31" s="1"/>
      <c r="N31" s="52"/>
      <c r="O31" s="2"/>
      <c r="P31" s="38"/>
      <c r="Q31" s="39"/>
    </row>
    <row r="32" spans="1:17" ht="19.5" collapsed="1">
      <c r="A32" s="15"/>
      <c r="D32" s="21" t="s">
        <v>0</v>
      </c>
      <c r="E32" s="17"/>
      <c r="F32" s="16" t="s">
        <v>1</v>
      </c>
      <c r="G32" s="17"/>
      <c r="H32" s="18" t="s">
        <v>62</v>
      </c>
      <c r="I32" s="17"/>
      <c r="J32" s="70" t="s">
        <v>63</v>
      </c>
      <c r="K32" s="19"/>
      <c r="L32" s="19" t="s">
        <v>2</v>
      </c>
      <c r="M32" s="19"/>
      <c r="N32" s="20" t="s">
        <v>3</v>
      </c>
      <c r="O32" s="21" t="s">
        <v>4</v>
      </c>
      <c r="P32" s="22"/>
      <c r="Q32" s="23"/>
    </row>
    <row r="33" spans="1:17" ht="13.5" customHeight="1">
      <c r="A33" s="43"/>
      <c r="B33" s="43" t="s">
        <v>64</v>
      </c>
      <c r="C33" s="53"/>
      <c r="D33" s="56"/>
      <c r="E33" s="46"/>
      <c r="F33" s="33"/>
      <c r="G33" s="25"/>
      <c r="H33" s="33"/>
      <c r="I33" s="24"/>
      <c r="J33" s="73" t="s">
        <v>65</v>
      </c>
      <c r="K33" s="28"/>
      <c r="L33" s="48"/>
      <c r="M33" s="28"/>
      <c r="N33" s="52"/>
      <c r="O33" s="2"/>
      <c r="P33" s="38"/>
      <c r="Q33" s="39"/>
    </row>
    <row r="34" spans="1:17" ht="12" customHeight="1">
      <c r="A34" s="32" t="s">
        <v>17</v>
      </c>
      <c r="B34" s="41" t="s">
        <v>66</v>
      </c>
      <c r="C34" s="41" t="s">
        <v>36</v>
      </c>
      <c r="D34" s="65">
        <v>8.1</v>
      </c>
      <c r="E34" s="34">
        <f>IF(D34=0,0,MAX(0,1000+10*(G_60_14-D34)*G_60_M))</f>
        <v>876.0000000000002</v>
      </c>
      <c r="F34" s="54">
        <v>4.64</v>
      </c>
      <c r="G34" s="1">
        <f>IF(F34=0,0,MAX(0,TRUNC(1000+100*(F34-G_L_14)*G_L_M)))</f>
        <v>766</v>
      </c>
      <c r="H34" s="54">
        <v>8.67</v>
      </c>
      <c r="I34" s="3">
        <f>IF(H34=0,0,IF(H34&gt;=G_K1_14,TRUNC(1000+(H34-G_K1_14)*100*G_Kpluss),IF(H34&gt;=G_K2_14,TRUNC(G_80K_14+(H34-G_K2_14)*100*G_Kopp),TRUNC(G_80K_14-(G_K2_14-H34)*100*G_Kned))))</f>
        <v>582</v>
      </c>
      <c r="J34" s="72">
        <v>14.3</v>
      </c>
      <c r="K34" s="34">
        <f>IF(J34=0,0,MAX(0,1000+10*(G_HK_14-J34)*G_HK_M14))</f>
        <v>621.9999999999998</v>
      </c>
      <c r="L34" s="36">
        <v>1.5</v>
      </c>
      <c r="M34" s="1">
        <f>IF(L34=0,0,MAX(0,TRUNC(1000+100*(L34-G_H_14)*G_H_M)))</f>
        <v>846</v>
      </c>
      <c r="N34" s="52" t="s">
        <v>67</v>
      </c>
      <c r="O34" s="2">
        <v>113.5</v>
      </c>
      <c r="P34" s="38">
        <f>IF(O34=0,0,MAX(0,1000+10*(G_600_14-O34)*G_600_M))</f>
        <v>392.5</v>
      </c>
      <c r="Q34" s="39">
        <f>SUM(E34,G34,I34,K34,M34,P34)</f>
        <v>4084.5</v>
      </c>
    </row>
    <row r="35" spans="1:17" ht="12" customHeight="1">
      <c r="A35" s="32" t="s">
        <v>11</v>
      </c>
      <c r="B35" s="11" t="s">
        <v>68</v>
      </c>
      <c r="C35" s="11" t="s">
        <v>47</v>
      </c>
      <c r="D35" s="65">
        <v>8</v>
      </c>
      <c r="E35" s="34">
        <f>IF(D35=0,0,MAX(0,1000+10*(G_60_14-D35)*G_60_M))</f>
        <v>907</v>
      </c>
      <c r="F35" s="54">
        <v>5.1</v>
      </c>
      <c r="G35" s="1">
        <f>IF(F35=0,0,MAX(0,TRUNC(1000+100*(F35-G_L_14)*G_L_M)))</f>
        <v>863</v>
      </c>
      <c r="H35" s="54">
        <v>7.85</v>
      </c>
      <c r="I35" s="3">
        <f>IF(H35=0,0,IF(H35&gt;=G_K1_14,TRUNC(1000+(H35-G_K1_14)*100*G_Kpluss),IF(H35&gt;=G_K2_14,TRUNC(G_80K_14+(H35-G_K2_14)*100*G_Kopp),TRUNC(G_80K_14-(G_K2_14-H35)*100*G_Kned))))</f>
        <v>484</v>
      </c>
      <c r="J35" s="72">
        <v>16.8</v>
      </c>
      <c r="K35" s="34">
        <f>IF(J35=0,0,MAX(0,1000+10*(G_HK_14-J35)*G_HK_M14))</f>
        <v>171.99999999999977</v>
      </c>
      <c r="L35" s="36">
        <v>1.5</v>
      </c>
      <c r="M35" s="1">
        <f>IF(L35=0,0,MAX(0,TRUNC(1000+100*(L35-G_H_14)*G_H_M)))</f>
        <v>846</v>
      </c>
      <c r="N35" s="52" t="s">
        <v>69</v>
      </c>
      <c r="O35" s="2">
        <v>100.8</v>
      </c>
      <c r="P35" s="38">
        <f>IF(O35=0,0,MAX(0,1000+10*(G_600_14-O35)*G_600_M))</f>
        <v>735.4000000000001</v>
      </c>
      <c r="Q35" s="39">
        <f>SUM(E35,G35,I35,K35,M35,P35)</f>
        <v>4007.4</v>
      </c>
    </row>
    <row r="36" spans="1:17" ht="12" customHeight="1">
      <c r="A36" s="32">
        <v>3</v>
      </c>
      <c r="B36" s="11" t="s">
        <v>70</v>
      </c>
      <c r="C36" s="11" t="s">
        <v>71</v>
      </c>
      <c r="D36" s="65">
        <v>8.6</v>
      </c>
      <c r="E36" s="34">
        <f>IF(D36=0,0,MAX(0,1000+10*(G_60_14-D36)*G_60_M))</f>
        <v>721.0000000000002</v>
      </c>
      <c r="F36" s="54">
        <v>4.39</v>
      </c>
      <c r="G36" s="1">
        <f>IF(F36=0,0,MAX(0,TRUNC(1000+100*(F36-G_L_14)*G_L_M)))</f>
        <v>714</v>
      </c>
      <c r="H36" s="54">
        <v>8.63</v>
      </c>
      <c r="I36" s="3">
        <f>IF(H36=0,0,IF(H36&gt;=G_K1_14,TRUNC(1000+(H36-G_K1_14)*100*G_Kpluss),IF(H36&gt;=G_K2_14,TRUNC(G_80K_14+(H36-G_K2_14)*100*G_Kopp),TRUNC(G_80K_14-(G_K2_14-H36)*100*G_Kned))))</f>
        <v>577</v>
      </c>
      <c r="J36" s="72">
        <v>16.1</v>
      </c>
      <c r="K36" s="34">
        <f>IF(J36=0,0,MAX(0,1000+10*(G_HK_14-J36)*G_HK_M14))</f>
        <v>297.99999999999966</v>
      </c>
      <c r="L36" s="36">
        <v>1.35</v>
      </c>
      <c r="M36" s="1">
        <f>IF(L36=0,0,MAX(0,TRUNC(1000+100*(L36-G_H_14)*G_H_M)))</f>
        <v>741</v>
      </c>
      <c r="N36" s="52" t="s">
        <v>72</v>
      </c>
      <c r="O36" s="2">
        <v>108.2</v>
      </c>
      <c r="P36" s="38">
        <f>IF(O36=0,0,MAX(0,1000+10*(G_600_14-O36)*G_600_M))</f>
        <v>535.5999999999999</v>
      </c>
      <c r="Q36" s="39">
        <f>SUM(E36,G36,I36,K36,M36,P36)</f>
        <v>3586.6</v>
      </c>
    </row>
    <row r="37" spans="1:17" ht="12" customHeight="1">
      <c r="A37" s="40">
        <v>4</v>
      </c>
      <c r="B37" s="11" t="s">
        <v>73</v>
      </c>
      <c r="C37" s="11" t="s">
        <v>47</v>
      </c>
      <c r="D37" s="65">
        <v>8.8</v>
      </c>
      <c r="E37" s="34">
        <f>IF(D37=0,0,MAX(0,1000+10*(G_60_14-D37)*G_60_M))</f>
        <v>658.9999999999998</v>
      </c>
      <c r="F37" s="33">
        <v>4.82</v>
      </c>
      <c r="G37" s="1">
        <f>IF(F37=0,0,MAX(0,TRUNC(1000+100*(F37-G_L_14)*G_L_M)))</f>
        <v>804</v>
      </c>
      <c r="H37" s="33">
        <v>7.21</v>
      </c>
      <c r="I37" s="3">
        <f>IF(H37=0,0,IF(H37&gt;=G_K1_14,TRUNC(1000+(H37-G_K1_14)*100*G_Kpluss),IF(H37&gt;=G_K2_14,TRUNC(G_80K_14+(H37-G_K2_14)*100*G_Kopp),TRUNC(G_80K_14-(G_K2_14-H37)*100*G_Kned))))</f>
        <v>407</v>
      </c>
      <c r="J37" s="72">
        <v>19</v>
      </c>
      <c r="K37" s="34">
        <f>IF(J37=0,0,MAX(0,1000+10*(G_HK_14-J37)*G_HK_M14))</f>
        <v>0</v>
      </c>
      <c r="L37" s="36">
        <v>1.3</v>
      </c>
      <c r="M37" s="1">
        <f>IF(L37=0,0,MAX(0,TRUNC(1000+100*(L37-G_H_14)*G_H_M)))</f>
        <v>706</v>
      </c>
      <c r="N37" s="37" t="s">
        <v>74</v>
      </c>
      <c r="O37" s="2">
        <v>114.2</v>
      </c>
      <c r="P37" s="38">
        <f>IF(O37=0,0,MAX(0,1000+10*(G_600_14-O37)*G_600_M))</f>
        <v>373.5999999999999</v>
      </c>
      <c r="Q37" s="39">
        <f>SUM(E37,G37,I37,K37,M37,P37)</f>
        <v>2949.6</v>
      </c>
    </row>
    <row r="38" spans="1:17" ht="12" customHeight="1">
      <c r="A38" s="32"/>
      <c r="B38" s="42"/>
      <c r="C38" s="41"/>
      <c r="D38" s="65"/>
      <c r="E38" s="34"/>
      <c r="F38" s="54"/>
      <c r="H38" s="54"/>
      <c r="J38" s="72"/>
      <c r="K38" s="34"/>
      <c r="L38" s="36"/>
      <c r="M38" s="1"/>
      <c r="N38" s="52"/>
      <c r="O38" s="2"/>
      <c r="P38" s="38"/>
      <c r="Q38" s="39"/>
    </row>
    <row r="39" spans="1:17" ht="12" customHeight="1">
      <c r="A39" s="32">
        <f>COUNTA(A4:A37)</f>
        <v>24</v>
      </c>
      <c r="B39" s="42"/>
      <c r="C39" s="32">
        <f>COUNTA(C4:C37)</f>
        <v>24</v>
      </c>
      <c r="D39" s="65"/>
      <c r="E39" s="34"/>
      <c r="F39" s="54"/>
      <c r="H39" s="54"/>
      <c r="J39" s="72"/>
      <c r="K39" s="34"/>
      <c r="L39" s="36"/>
      <c r="M39" s="1"/>
      <c r="N39" s="52"/>
      <c r="O39" s="2"/>
      <c r="P39" s="38"/>
      <c r="Q39" s="39"/>
    </row>
    <row r="40" spans="1:17" ht="24" customHeight="1">
      <c r="A40" s="43" t="s">
        <v>201</v>
      </c>
      <c r="B40" s="55"/>
      <c r="C40" s="53"/>
      <c r="D40" s="56"/>
      <c r="E40" s="34"/>
      <c r="F40" s="33"/>
      <c r="H40" s="57"/>
      <c r="N40" s="37"/>
      <c r="O40" s="2"/>
      <c r="P40" s="38"/>
      <c r="Q40" s="39"/>
    </row>
  </sheetData>
  <sheetProtection password="C67C"/>
  <printOptions horizontalCentered="1"/>
  <pageMargins left="0.5511811023622047" right="0.3937007874015748" top="0.2362204724409449" bottom="0.3937007874015748" header="0.84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H56" sqref="H56"/>
    </sheetView>
  </sheetViews>
  <sheetFormatPr defaultColWidth="11.421875" defaultRowHeight="12.75"/>
  <cols>
    <col min="1" max="1" width="6.8515625" style="0" customWidth="1"/>
    <col min="2" max="2" width="32.00390625" style="0" customWidth="1"/>
    <col min="3" max="3" width="20.8515625" style="0" customWidth="1"/>
    <col min="4" max="4" width="7.8515625" style="78" customWidth="1"/>
  </cols>
  <sheetData>
    <row r="1" spans="1:5" ht="28.5" customHeight="1">
      <c r="A1" s="75" t="s">
        <v>202</v>
      </c>
      <c r="D1" s="76" t="s">
        <v>203</v>
      </c>
      <c r="E1" s="75"/>
    </row>
    <row r="2" spans="1:3" ht="24.75" customHeight="1">
      <c r="A2" s="75" t="s">
        <v>204</v>
      </c>
      <c r="B2" s="75" t="s">
        <v>205</v>
      </c>
      <c r="C2" s="77" t="s">
        <v>206</v>
      </c>
    </row>
    <row r="3" spans="1:4" ht="12.75">
      <c r="A3" s="32">
        <v>1</v>
      </c>
      <c r="B3" s="41" t="s">
        <v>79</v>
      </c>
      <c r="C3" s="41" t="s">
        <v>19</v>
      </c>
      <c r="D3" s="79">
        <v>9.3</v>
      </c>
    </row>
    <row r="4" spans="1:4" ht="12.75">
      <c r="A4" s="32">
        <v>2</v>
      </c>
      <c r="B4" s="41" t="s">
        <v>87</v>
      </c>
      <c r="C4" s="41" t="s">
        <v>207</v>
      </c>
      <c r="D4" s="79">
        <v>10.3</v>
      </c>
    </row>
    <row r="5" spans="1:4" ht="12.75">
      <c r="A5" s="32">
        <v>3</v>
      </c>
      <c r="B5" s="41" t="s">
        <v>85</v>
      </c>
      <c r="C5" s="11" t="s">
        <v>47</v>
      </c>
      <c r="D5" s="79">
        <v>10.5</v>
      </c>
    </row>
    <row r="6" spans="1:4" ht="12.75">
      <c r="A6" s="32">
        <v>4</v>
      </c>
      <c r="B6" s="41" t="s">
        <v>94</v>
      </c>
      <c r="C6" s="41" t="s">
        <v>49</v>
      </c>
      <c r="D6" s="79">
        <v>11.2</v>
      </c>
    </row>
    <row r="7" spans="1:4" ht="12.75">
      <c r="A7" s="32"/>
      <c r="B7" s="80" t="s">
        <v>208</v>
      </c>
      <c r="C7" s="77" t="s">
        <v>209</v>
      </c>
      <c r="D7" s="79"/>
    </row>
    <row r="8" spans="1:4" ht="12.75">
      <c r="A8" s="32">
        <v>1</v>
      </c>
      <c r="B8" s="41" t="s">
        <v>83</v>
      </c>
      <c r="C8" s="41" t="s">
        <v>49</v>
      </c>
      <c r="D8" s="79">
        <v>9.7</v>
      </c>
    </row>
    <row r="9" spans="1:4" ht="12.75">
      <c r="A9" s="32">
        <v>2</v>
      </c>
      <c r="B9" s="41" t="s">
        <v>81</v>
      </c>
      <c r="C9" s="41" t="s">
        <v>49</v>
      </c>
      <c r="D9" s="79">
        <v>10.1</v>
      </c>
    </row>
    <row r="10" spans="1:4" ht="12.75">
      <c r="A10" s="32">
        <v>3</v>
      </c>
      <c r="B10" s="41" t="s">
        <v>92</v>
      </c>
      <c r="C10" s="12" t="s">
        <v>13</v>
      </c>
      <c r="D10" s="79">
        <v>10.6</v>
      </c>
    </row>
    <row r="11" spans="1:4" ht="12.75">
      <c r="A11" s="32">
        <v>4</v>
      </c>
      <c r="B11" s="41" t="s">
        <v>90</v>
      </c>
      <c r="C11" s="41" t="s">
        <v>49</v>
      </c>
      <c r="D11" s="79">
        <v>11</v>
      </c>
    </row>
    <row r="12" spans="1:3" ht="24.75" customHeight="1">
      <c r="A12" s="75" t="s">
        <v>210</v>
      </c>
      <c r="B12" s="75" t="s">
        <v>205</v>
      </c>
      <c r="C12" s="77" t="s">
        <v>211</v>
      </c>
    </row>
    <row r="13" spans="1:4" ht="12.75">
      <c r="A13" s="32">
        <v>1</v>
      </c>
      <c r="B13" s="41" t="s">
        <v>97</v>
      </c>
      <c r="C13" s="41" t="s">
        <v>19</v>
      </c>
      <c r="D13" s="79">
        <v>9.1</v>
      </c>
    </row>
    <row r="14" spans="1:4" ht="12.75">
      <c r="A14" s="32">
        <v>2</v>
      </c>
      <c r="B14" s="12" t="s">
        <v>99</v>
      </c>
      <c r="C14" s="12" t="s">
        <v>13</v>
      </c>
      <c r="D14" s="79">
        <v>9.2</v>
      </c>
    </row>
    <row r="15" spans="1:4" ht="12.75">
      <c r="A15" s="32">
        <v>3</v>
      </c>
      <c r="B15" s="12" t="s">
        <v>101</v>
      </c>
      <c r="C15" s="12" t="s">
        <v>13</v>
      </c>
      <c r="D15" s="79">
        <v>9.3</v>
      </c>
    </row>
    <row r="16" spans="1:4" ht="12.75">
      <c r="A16" s="32">
        <v>4</v>
      </c>
      <c r="B16" s="41" t="s">
        <v>105</v>
      </c>
      <c r="C16" s="41" t="s">
        <v>106</v>
      </c>
      <c r="D16" s="79">
        <v>9.3</v>
      </c>
    </row>
    <row r="17" spans="1:4" ht="12.75">
      <c r="A17" s="32">
        <v>5</v>
      </c>
      <c r="B17" s="41" t="s">
        <v>103</v>
      </c>
      <c r="C17" s="41" t="s">
        <v>19</v>
      </c>
      <c r="D17" s="79">
        <v>9.7</v>
      </c>
    </row>
    <row r="18" spans="1:4" ht="12.75">
      <c r="A18" s="32"/>
      <c r="B18" s="80" t="s">
        <v>208</v>
      </c>
      <c r="C18" s="77" t="s">
        <v>212</v>
      </c>
      <c r="D18" s="79"/>
    </row>
    <row r="19" spans="1:4" ht="12.75">
      <c r="A19" s="32">
        <v>1</v>
      </c>
      <c r="B19" s="41" t="s">
        <v>112</v>
      </c>
      <c r="C19" s="41" t="s">
        <v>113</v>
      </c>
      <c r="D19" s="79">
        <v>9.4</v>
      </c>
    </row>
    <row r="20" spans="1:4" ht="12.75">
      <c r="A20" s="32">
        <v>2</v>
      </c>
      <c r="B20" s="41" t="s">
        <v>110</v>
      </c>
      <c r="C20" s="41" t="s">
        <v>19</v>
      </c>
      <c r="D20" s="79">
        <v>10</v>
      </c>
    </row>
    <row r="21" spans="1:4" ht="12.75">
      <c r="A21" s="32">
        <v>3</v>
      </c>
      <c r="B21" s="12" t="s">
        <v>108</v>
      </c>
      <c r="C21" s="41" t="s">
        <v>106</v>
      </c>
      <c r="D21" s="79">
        <v>10.1</v>
      </c>
    </row>
    <row r="22" spans="1:4" ht="12.75">
      <c r="A22" s="32">
        <v>4</v>
      </c>
      <c r="B22" s="12" t="s">
        <v>115</v>
      </c>
      <c r="C22" s="12" t="s">
        <v>13</v>
      </c>
      <c r="D22" s="79">
        <v>10.3</v>
      </c>
    </row>
    <row r="23" spans="1:4" ht="12.75">
      <c r="A23" s="32">
        <v>5</v>
      </c>
      <c r="B23" s="41" t="s">
        <v>117</v>
      </c>
      <c r="C23" s="41" t="s">
        <v>49</v>
      </c>
      <c r="D23" s="79">
        <v>10.3</v>
      </c>
    </row>
    <row r="24" spans="1:3" ht="24.75" customHeight="1">
      <c r="A24" s="75" t="s">
        <v>213</v>
      </c>
      <c r="B24" s="75" t="s">
        <v>205</v>
      </c>
      <c r="C24" s="77" t="s">
        <v>214</v>
      </c>
    </row>
    <row r="25" spans="1:4" ht="12.75">
      <c r="A25" s="32">
        <v>1</v>
      </c>
      <c r="B25" s="42" t="s">
        <v>120</v>
      </c>
      <c r="C25" s="41" t="s">
        <v>25</v>
      </c>
      <c r="D25" s="79">
        <v>8.6</v>
      </c>
    </row>
    <row r="26" spans="1:4" ht="12.75">
      <c r="A26" s="32">
        <v>2</v>
      </c>
      <c r="B26" s="41" t="s">
        <v>130</v>
      </c>
      <c r="C26" s="41" t="s">
        <v>19</v>
      </c>
      <c r="D26" s="79">
        <v>8.9</v>
      </c>
    </row>
    <row r="27" spans="1:4" ht="12.75">
      <c r="A27" s="32">
        <v>3</v>
      </c>
      <c r="B27" s="11" t="s">
        <v>131</v>
      </c>
      <c r="C27" s="11" t="s">
        <v>47</v>
      </c>
      <c r="D27" s="79">
        <v>9.3</v>
      </c>
    </row>
    <row r="28" spans="1:4" ht="12.75">
      <c r="A28" s="32">
        <v>4</v>
      </c>
      <c r="B28" s="11" t="s">
        <v>144</v>
      </c>
      <c r="C28" s="11" t="s">
        <v>47</v>
      </c>
      <c r="D28" s="79">
        <v>9.5</v>
      </c>
    </row>
    <row r="29" spans="1:4" ht="12.75">
      <c r="A29" s="32">
        <v>5</v>
      </c>
      <c r="B29" s="41" t="s">
        <v>138</v>
      </c>
      <c r="C29" s="41" t="s">
        <v>207</v>
      </c>
      <c r="D29" s="79">
        <v>10.6</v>
      </c>
    </row>
    <row r="30" spans="1:4" ht="12.75">
      <c r="A30" s="32"/>
      <c r="B30" s="80" t="s">
        <v>208</v>
      </c>
      <c r="C30" s="77" t="s">
        <v>206</v>
      </c>
      <c r="D30" s="79"/>
    </row>
    <row r="31" spans="1:4" ht="12.75">
      <c r="A31" s="32">
        <v>1</v>
      </c>
      <c r="B31" s="41" t="s">
        <v>122</v>
      </c>
      <c r="C31" s="41" t="s">
        <v>19</v>
      </c>
      <c r="D31" s="79">
        <v>9.6</v>
      </c>
    </row>
    <row r="32" spans="1:4" ht="12.75">
      <c r="A32" s="32">
        <v>2</v>
      </c>
      <c r="B32" s="11" t="s">
        <v>133</v>
      </c>
      <c r="C32" s="11" t="s">
        <v>47</v>
      </c>
      <c r="D32" s="79">
        <v>9.7</v>
      </c>
    </row>
    <row r="33" spans="1:4" ht="12.75">
      <c r="A33" s="32">
        <v>3</v>
      </c>
      <c r="B33" s="41" t="s">
        <v>124</v>
      </c>
      <c r="C33" s="41" t="s">
        <v>19</v>
      </c>
      <c r="D33" s="79">
        <v>9.7</v>
      </c>
    </row>
    <row r="34" spans="1:4" ht="12.75">
      <c r="A34" s="32">
        <v>4</v>
      </c>
      <c r="B34" s="12" t="s">
        <v>136</v>
      </c>
      <c r="C34" s="41" t="s">
        <v>25</v>
      </c>
      <c r="D34" s="79">
        <v>9.7</v>
      </c>
    </row>
    <row r="35" spans="1:4" ht="12.75">
      <c r="A35" s="32">
        <v>5</v>
      </c>
      <c r="B35" s="11" t="s">
        <v>142</v>
      </c>
      <c r="C35" s="11" t="s">
        <v>47</v>
      </c>
      <c r="D35" s="79">
        <v>10.1</v>
      </c>
    </row>
    <row r="36" spans="1:4" ht="12.75">
      <c r="A36" s="32"/>
      <c r="B36" s="80" t="s">
        <v>215</v>
      </c>
      <c r="C36" s="77" t="s">
        <v>212</v>
      </c>
      <c r="D36" s="79"/>
    </row>
    <row r="37" spans="1:4" ht="12.75">
      <c r="A37" s="32">
        <v>1</v>
      </c>
      <c r="B37" s="41" t="s">
        <v>126</v>
      </c>
      <c r="C37" s="41" t="s">
        <v>19</v>
      </c>
      <c r="D37" s="79">
        <v>9.3</v>
      </c>
    </row>
    <row r="38" spans="1:4" ht="12.75">
      <c r="A38" s="32">
        <v>2</v>
      </c>
      <c r="B38" s="41" t="s">
        <v>128</v>
      </c>
      <c r="C38" s="41" t="s">
        <v>19</v>
      </c>
      <c r="D38" s="79">
        <v>9.3</v>
      </c>
    </row>
    <row r="39" spans="1:4" ht="12.75">
      <c r="A39" s="32">
        <v>3</v>
      </c>
      <c r="B39" s="11" t="s">
        <v>134</v>
      </c>
      <c r="C39" s="11" t="s">
        <v>47</v>
      </c>
      <c r="D39" s="79">
        <v>9.8</v>
      </c>
    </row>
    <row r="40" spans="1:4" ht="12.75">
      <c r="A40" s="32">
        <v>4</v>
      </c>
      <c r="B40" s="12" t="s">
        <v>140</v>
      </c>
      <c r="C40" s="41" t="s">
        <v>25</v>
      </c>
      <c r="D40" s="79">
        <v>10.4</v>
      </c>
    </row>
    <row r="41" spans="1:3" ht="24.75" customHeight="1">
      <c r="A41" s="75" t="s">
        <v>216</v>
      </c>
      <c r="B41" s="75"/>
      <c r="C41" s="77" t="s">
        <v>217</v>
      </c>
    </row>
    <row r="42" spans="1:5" ht="12.75">
      <c r="A42" s="32">
        <v>1</v>
      </c>
      <c r="B42" s="12" t="s">
        <v>12</v>
      </c>
      <c r="C42" s="12" t="s">
        <v>13</v>
      </c>
      <c r="D42" s="79">
        <v>8.4</v>
      </c>
      <c r="E42" s="40"/>
    </row>
    <row r="43" spans="1:5" ht="12.75">
      <c r="A43" s="40">
        <v>2</v>
      </c>
      <c r="B43" s="12" t="s">
        <v>15</v>
      </c>
      <c r="C43" s="12" t="s">
        <v>13</v>
      </c>
      <c r="D43" s="79">
        <v>9.3</v>
      </c>
      <c r="E43" s="40"/>
    </row>
    <row r="44" spans="1:5" ht="12.75">
      <c r="A44" s="40">
        <v>3</v>
      </c>
      <c r="B44" s="12" t="s">
        <v>18</v>
      </c>
      <c r="C44" s="41" t="s">
        <v>19</v>
      </c>
      <c r="D44" s="79">
        <v>9.3</v>
      </c>
      <c r="E44" s="40"/>
    </row>
    <row r="45" spans="1:5" ht="12.75">
      <c r="A45" s="32">
        <v>4</v>
      </c>
      <c r="B45" s="12" t="s">
        <v>24</v>
      </c>
      <c r="C45" s="41" t="s">
        <v>25</v>
      </c>
      <c r="D45" s="79">
        <v>9.2</v>
      </c>
      <c r="E45" s="40"/>
    </row>
    <row r="46" spans="1:6" ht="12.75">
      <c r="A46" s="32">
        <v>5</v>
      </c>
      <c r="B46" s="41" t="s">
        <v>28</v>
      </c>
      <c r="C46" s="41" t="s">
        <v>22</v>
      </c>
      <c r="D46" s="79">
        <v>8.4</v>
      </c>
      <c r="E46" s="41"/>
      <c r="F46" s="40"/>
    </row>
    <row r="47" spans="1:6" ht="12.75">
      <c r="A47" s="32">
        <v>6</v>
      </c>
      <c r="B47" s="41" t="s">
        <v>21</v>
      </c>
      <c r="C47" s="41" t="s">
        <v>22</v>
      </c>
      <c r="D47" s="79">
        <v>9.8</v>
      </c>
      <c r="E47" s="41"/>
      <c r="F47" s="40"/>
    </row>
    <row r="48" spans="1:3" ht="24.75" customHeight="1">
      <c r="A48" s="75" t="s">
        <v>218</v>
      </c>
      <c r="B48" s="75" t="s">
        <v>205</v>
      </c>
      <c r="C48" s="77" t="s">
        <v>219</v>
      </c>
    </row>
    <row r="49" spans="1:6" ht="12.75">
      <c r="A49" s="32">
        <v>1</v>
      </c>
      <c r="B49" s="41" t="s">
        <v>35</v>
      </c>
      <c r="C49" s="41" t="s">
        <v>36</v>
      </c>
      <c r="D49" s="79">
        <v>8</v>
      </c>
      <c r="E49" s="41"/>
      <c r="F49" s="40"/>
    </row>
    <row r="50" spans="1:6" ht="12.75">
      <c r="A50" s="32">
        <v>2</v>
      </c>
      <c r="B50" s="41" t="s">
        <v>33</v>
      </c>
      <c r="C50" s="41" t="s">
        <v>22</v>
      </c>
      <c r="D50" s="79">
        <v>8.1</v>
      </c>
      <c r="E50" s="41"/>
      <c r="F50" s="40"/>
    </row>
    <row r="51" spans="1:6" ht="12.75">
      <c r="A51" s="32">
        <v>3</v>
      </c>
      <c r="B51" s="42" t="s">
        <v>41</v>
      </c>
      <c r="C51" s="51" t="s">
        <v>42</v>
      </c>
      <c r="D51" s="79">
        <v>8.2</v>
      </c>
      <c r="E51" s="42"/>
      <c r="F51" s="40"/>
    </row>
    <row r="52" spans="1:6" ht="12.75">
      <c r="A52" s="32">
        <v>4</v>
      </c>
      <c r="B52" s="41" t="s">
        <v>38</v>
      </c>
      <c r="C52" s="41" t="s">
        <v>39</v>
      </c>
      <c r="D52" s="79">
        <v>8.7</v>
      </c>
      <c r="E52" s="41"/>
      <c r="F52" s="40"/>
    </row>
    <row r="53" spans="1:5" ht="12.75">
      <c r="A53" s="40">
        <v>5</v>
      </c>
      <c r="B53" s="41" t="s">
        <v>54</v>
      </c>
      <c r="C53" s="41" t="s">
        <v>19</v>
      </c>
      <c r="D53" s="79">
        <v>8.9</v>
      </c>
      <c r="E53" s="40"/>
    </row>
    <row r="54" spans="1:4" ht="12.75">
      <c r="A54" s="32"/>
      <c r="B54" s="80" t="s">
        <v>208</v>
      </c>
      <c r="C54" s="77" t="s">
        <v>220</v>
      </c>
      <c r="D54" s="79"/>
    </row>
    <row r="55" spans="1:6" ht="12.75">
      <c r="A55" s="32">
        <v>1</v>
      </c>
      <c r="B55" s="12" t="s">
        <v>44</v>
      </c>
      <c r="C55" s="12" t="s">
        <v>13</v>
      </c>
      <c r="D55" s="79">
        <v>9</v>
      </c>
      <c r="E55" s="81"/>
      <c r="F55" s="40"/>
    </row>
    <row r="56" spans="1:6" ht="12.75">
      <c r="A56" s="32">
        <v>2</v>
      </c>
      <c r="B56" s="11" t="s">
        <v>46</v>
      </c>
      <c r="C56" s="11" t="s">
        <v>47</v>
      </c>
      <c r="D56" s="79">
        <v>9.1</v>
      </c>
      <c r="E56" s="81"/>
      <c r="F56" s="40"/>
    </row>
    <row r="57" spans="1:6" ht="12.75">
      <c r="A57" s="32">
        <v>3</v>
      </c>
      <c r="B57" s="41" t="s">
        <v>48</v>
      </c>
      <c r="C57" s="41" t="s">
        <v>49</v>
      </c>
      <c r="D57" s="79">
        <v>9.3</v>
      </c>
      <c r="E57" s="81"/>
      <c r="F57" s="40"/>
    </row>
    <row r="58" spans="1:5" ht="12.75">
      <c r="A58" s="40">
        <v>4</v>
      </c>
      <c r="B58" s="11" t="s">
        <v>50</v>
      </c>
      <c r="C58" s="11" t="s">
        <v>47</v>
      </c>
      <c r="D58" s="79">
        <v>9.6</v>
      </c>
      <c r="E58" s="40"/>
    </row>
    <row r="59" spans="1:6" ht="12.75">
      <c r="A59" s="32">
        <v>5</v>
      </c>
      <c r="B59" s="11" t="s">
        <v>52</v>
      </c>
      <c r="C59" s="11" t="s">
        <v>47</v>
      </c>
      <c r="D59" s="79">
        <v>9.7</v>
      </c>
      <c r="E59" s="41"/>
      <c r="F59" s="40"/>
    </row>
    <row r="60" spans="1:6" ht="12.75">
      <c r="A60" s="32">
        <v>6</v>
      </c>
      <c r="B60" s="41" t="s">
        <v>55</v>
      </c>
      <c r="C60" s="41" t="s">
        <v>49</v>
      </c>
      <c r="D60" s="79">
        <v>9.9</v>
      </c>
      <c r="E60" s="41"/>
      <c r="F60" s="40"/>
    </row>
    <row r="61" spans="1:3" ht="24.75" customHeight="1">
      <c r="A61" s="75" t="s">
        <v>221</v>
      </c>
      <c r="B61" s="75" t="s">
        <v>205</v>
      </c>
      <c r="C61" s="77" t="s">
        <v>222</v>
      </c>
    </row>
    <row r="62" spans="1:4" ht="12.75">
      <c r="A62" s="32">
        <v>1</v>
      </c>
      <c r="B62" s="41" t="s">
        <v>149</v>
      </c>
      <c r="C62" s="41" t="s">
        <v>39</v>
      </c>
      <c r="D62" s="79">
        <v>9.4</v>
      </c>
    </row>
    <row r="63" spans="1:4" ht="12.75">
      <c r="A63" s="32">
        <v>2</v>
      </c>
      <c r="B63" s="41" t="s">
        <v>151</v>
      </c>
      <c r="C63" s="41" t="s">
        <v>49</v>
      </c>
      <c r="D63" s="79">
        <v>9.6</v>
      </c>
    </row>
    <row r="64" spans="1:4" ht="12.75">
      <c r="A64" s="60">
        <v>3</v>
      </c>
      <c r="B64" s="41" t="s">
        <v>152</v>
      </c>
      <c r="C64" s="41" t="s">
        <v>49</v>
      </c>
      <c r="D64" s="79">
        <v>10.1</v>
      </c>
    </row>
    <row r="65" spans="1:4" ht="12.75">
      <c r="A65" s="32">
        <v>4</v>
      </c>
      <c r="B65" s="41" t="s">
        <v>158</v>
      </c>
      <c r="C65" s="41" t="s">
        <v>159</v>
      </c>
      <c r="D65" s="79">
        <v>10.8</v>
      </c>
    </row>
    <row r="66" spans="1:4" ht="12.75">
      <c r="A66" s="32"/>
      <c r="B66" s="80" t="s">
        <v>208</v>
      </c>
      <c r="C66" s="77" t="s">
        <v>220</v>
      </c>
      <c r="D66" s="79"/>
    </row>
    <row r="67" spans="1:4" ht="12.75">
      <c r="A67" s="32">
        <v>1</v>
      </c>
      <c r="B67" s="41" t="s">
        <v>146</v>
      </c>
      <c r="C67" s="41" t="s">
        <v>36</v>
      </c>
      <c r="D67" s="79">
        <v>9.5</v>
      </c>
    </row>
    <row r="68" spans="1:4" ht="12.75">
      <c r="A68" s="32">
        <v>2</v>
      </c>
      <c r="B68" s="41" t="s">
        <v>148</v>
      </c>
      <c r="C68" s="41" t="s">
        <v>36</v>
      </c>
      <c r="D68" s="79">
        <v>9.9</v>
      </c>
    </row>
    <row r="69" spans="1:4" ht="12.75">
      <c r="A69" s="32">
        <v>3</v>
      </c>
      <c r="B69" s="41" t="s">
        <v>154</v>
      </c>
      <c r="C69" s="12" t="s">
        <v>13</v>
      </c>
      <c r="D69" s="79">
        <v>10.1</v>
      </c>
    </row>
    <row r="70" spans="1:4" ht="12.75">
      <c r="A70" s="32">
        <v>4</v>
      </c>
      <c r="B70" s="11" t="s">
        <v>156</v>
      </c>
      <c r="C70" s="11" t="s">
        <v>47</v>
      </c>
      <c r="D70" s="79">
        <v>11</v>
      </c>
    </row>
    <row r="71" spans="1:3" ht="24.75" customHeight="1">
      <c r="A71" s="75" t="s">
        <v>223</v>
      </c>
      <c r="B71" s="75" t="s">
        <v>205</v>
      </c>
      <c r="C71" s="77" t="s">
        <v>224</v>
      </c>
    </row>
    <row r="72" spans="1:4" ht="12.75">
      <c r="A72" s="32">
        <v>1</v>
      </c>
      <c r="B72" s="42" t="s">
        <v>161</v>
      </c>
      <c r="C72" s="41" t="s">
        <v>49</v>
      </c>
      <c r="D72" s="79">
        <v>9</v>
      </c>
    </row>
    <row r="73" spans="1:4" ht="12.75">
      <c r="A73" s="60">
        <v>2</v>
      </c>
      <c r="B73" s="12" t="s">
        <v>171</v>
      </c>
      <c r="C73" s="41" t="s">
        <v>25</v>
      </c>
      <c r="D73" s="79">
        <v>9.1</v>
      </c>
    </row>
    <row r="74" spans="1:4" ht="12.75">
      <c r="A74" s="32">
        <v>3</v>
      </c>
      <c r="B74" s="12" t="s">
        <v>175</v>
      </c>
      <c r="C74" s="41" t="s">
        <v>25</v>
      </c>
      <c r="D74" s="79">
        <v>9.9</v>
      </c>
    </row>
    <row r="75" spans="1:4" ht="12.75">
      <c r="A75" s="32">
        <v>4</v>
      </c>
      <c r="B75" s="12" t="s">
        <v>167</v>
      </c>
      <c r="C75" s="12" t="s">
        <v>13</v>
      </c>
      <c r="D75" s="79">
        <v>10</v>
      </c>
    </row>
    <row r="76" spans="1:4" ht="12.75">
      <c r="A76" s="60">
        <v>5</v>
      </c>
      <c r="B76" s="41" t="s">
        <v>177</v>
      </c>
      <c r="C76" s="41" t="s">
        <v>19</v>
      </c>
      <c r="D76" s="79">
        <v>10.3</v>
      </c>
    </row>
    <row r="77" spans="1:4" ht="12.75">
      <c r="A77" s="32"/>
      <c r="B77" s="80" t="s">
        <v>208</v>
      </c>
      <c r="C77" s="77" t="s">
        <v>225</v>
      </c>
      <c r="D77" s="79"/>
    </row>
    <row r="78" spans="1:4" ht="12.75">
      <c r="A78" s="60">
        <v>1</v>
      </c>
      <c r="B78" s="41" t="s">
        <v>165</v>
      </c>
      <c r="C78" s="41" t="s">
        <v>19</v>
      </c>
      <c r="D78" s="79">
        <v>9.7</v>
      </c>
    </row>
    <row r="79" spans="1:4" ht="12.75">
      <c r="A79" s="32">
        <v>2</v>
      </c>
      <c r="B79" s="12" t="s">
        <v>226</v>
      </c>
      <c r="C79" s="41" t="s">
        <v>25</v>
      </c>
      <c r="D79" s="79">
        <v>9.7</v>
      </c>
    </row>
    <row r="80" spans="1:4" ht="12.75">
      <c r="A80" s="32">
        <v>3</v>
      </c>
      <c r="B80" s="41" t="s">
        <v>169</v>
      </c>
      <c r="C80" s="41" t="s">
        <v>49</v>
      </c>
      <c r="D80" s="79">
        <v>10</v>
      </c>
    </row>
    <row r="81" spans="1:4" ht="12.75">
      <c r="A81" s="60">
        <v>4</v>
      </c>
      <c r="B81" s="41" t="s">
        <v>181</v>
      </c>
      <c r="C81" s="41" t="s">
        <v>19</v>
      </c>
      <c r="D81" s="79">
        <v>10.1</v>
      </c>
    </row>
    <row r="82" spans="1:4" ht="12.75">
      <c r="A82" s="32">
        <v>5</v>
      </c>
      <c r="B82" s="41" t="s">
        <v>179</v>
      </c>
      <c r="C82" s="41" t="s">
        <v>49</v>
      </c>
      <c r="D82" s="79">
        <v>10.4</v>
      </c>
    </row>
    <row r="83" spans="1:4" ht="12.75">
      <c r="A83" s="32"/>
      <c r="B83" s="80" t="s">
        <v>215</v>
      </c>
      <c r="C83" s="77" t="s">
        <v>227</v>
      </c>
      <c r="D83" s="79"/>
    </row>
    <row r="84" spans="1:4" ht="12.75">
      <c r="A84" s="60">
        <v>4</v>
      </c>
      <c r="B84" s="12" t="s">
        <v>163</v>
      </c>
      <c r="C84" s="12" t="s">
        <v>13</v>
      </c>
      <c r="D84" s="79">
        <v>9.4</v>
      </c>
    </row>
    <row r="85" spans="1:4" ht="12.75">
      <c r="A85" s="60">
        <v>4</v>
      </c>
      <c r="B85" s="41" t="s">
        <v>173</v>
      </c>
      <c r="C85" s="41" t="s">
        <v>49</v>
      </c>
      <c r="D85" s="79">
        <v>10.1</v>
      </c>
    </row>
    <row r="86" spans="1:4" ht="12.75">
      <c r="A86" s="60">
        <v>4</v>
      </c>
      <c r="B86" s="41" t="s">
        <v>185</v>
      </c>
      <c r="C86" s="41" t="s">
        <v>19</v>
      </c>
      <c r="D86" s="79">
        <v>10.9</v>
      </c>
    </row>
    <row r="87" spans="1:4" ht="12.75">
      <c r="A87" s="60">
        <v>4</v>
      </c>
      <c r="B87" s="12" t="s">
        <v>183</v>
      </c>
      <c r="C87" s="12" t="s">
        <v>13</v>
      </c>
      <c r="D87" s="79">
        <v>11.2</v>
      </c>
    </row>
    <row r="88" spans="1:3" ht="24.75" customHeight="1">
      <c r="A88" s="75" t="s">
        <v>228</v>
      </c>
      <c r="B88" s="75" t="s">
        <v>205</v>
      </c>
      <c r="C88" s="77" t="s">
        <v>229</v>
      </c>
    </row>
    <row r="89" spans="1:4" ht="12.75">
      <c r="A89" s="32">
        <v>1</v>
      </c>
      <c r="B89" s="41" t="s">
        <v>188</v>
      </c>
      <c r="C89" s="41" t="s">
        <v>49</v>
      </c>
      <c r="D89" s="79">
        <v>8.8</v>
      </c>
    </row>
    <row r="90" spans="1:4" ht="12.75">
      <c r="A90" s="32">
        <v>2</v>
      </c>
      <c r="B90" s="41" t="s">
        <v>191</v>
      </c>
      <c r="C90" s="41" t="s">
        <v>19</v>
      </c>
      <c r="D90" s="79">
        <v>9.1</v>
      </c>
    </row>
    <row r="91" spans="1:4" ht="12.75">
      <c r="A91" s="32">
        <v>3</v>
      </c>
      <c r="B91" s="11" t="s">
        <v>189</v>
      </c>
      <c r="C91" s="11" t="s">
        <v>47</v>
      </c>
      <c r="D91" s="79">
        <v>9.3</v>
      </c>
    </row>
    <row r="92" spans="1:4" ht="12.75">
      <c r="A92" s="32">
        <v>4</v>
      </c>
      <c r="B92" s="41" t="s">
        <v>193</v>
      </c>
      <c r="C92" s="41" t="s">
        <v>19</v>
      </c>
      <c r="D92" s="79">
        <v>9.6</v>
      </c>
    </row>
    <row r="93" spans="1:4" ht="12.75">
      <c r="A93" s="32"/>
      <c r="B93" s="80" t="s">
        <v>208</v>
      </c>
      <c r="C93" s="77" t="s">
        <v>212</v>
      </c>
      <c r="D93" s="79"/>
    </row>
    <row r="94" spans="1:4" ht="12.75">
      <c r="A94" s="32">
        <v>1</v>
      </c>
      <c r="B94" s="11" t="s">
        <v>198</v>
      </c>
      <c r="C94" s="11" t="s">
        <v>47</v>
      </c>
      <c r="D94" s="79">
        <v>9.9</v>
      </c>
    </row>
    <row r="95" spans="1:4" ht="12.75">
      <c r="A95" s="32">
        <v>2</v>
      </c>
      <c r="B95" s="12" t="s">
        <v>195</v>
      </c>
      <c r="C95" s="41" t="s">
        <v>49</v>
      </c>
      <c r="D95" s="79">
        <v>10.1</v>
      </c>
    </row>
    <row r="96" spans="1:3" ht="24.75" customHeight="1">
      <c r="A96" s="75" t="s">
        <v>230</v>
      </c>
      <c r="B96" s="75"/>
      <c r="C96" s="77" t="s">
        <v>220</v>
      </c>
    </row>
    <row r="97" spans="1:4" ht="12.75">
      <c r="A97" s="32">
        <v>1</v>
      </c>
      <c r="B97" s="41" t="s">
        <v>57</v>
      </c>
      <c r="C97" s="41" t="s">
        <v>36</v>
      </c>
      <c r="D97" s="82">
        <v>8.4</v>
      </c>
    </row>
    <row r="98" spans="1:4" ht="12.75">
      <c r="A98" s="32">
        <v>2</v>
      </c>
      <c r="B98" s="42" t="s">
        <v>58</v>
      </c>
      <c r="C98" s="11" t="s">
        <v>13</v>
      </c>
      <c r="D98" s="82">
        <v>8.7</v>
      </c>
    </row>
    <row r="99" spans="1:5" ht="12.75">
      <c r="A99" s="32">
        <v>3</v>
      </c>
      <c r="B99" s="42" t="s">
        <v>60</v>
      </c>
      <c r="C99" s="11" t="s">
        <v>47</v>
      </c>
      <c r="D99" s="82">
        <v>9.2</v>
      </c>
      <c r="E99" s="83"/>
    </row>
    <row r="100" spans="1:3" ht="24.75" customHeight="1">
      <c r="A100" s="75" t="s">
        <v>231</v>
      </c>
      <c r="B100" s="75"/>
      <c r="C100" s="77" t="s">
        <v>232</v>
      </c>
    </row>
    <row r="101" spans="1:4" ht="12.75">
      <c r="A101" s="32">
        <v>1</v>
      </c>
      <c r="B101" s="11" t="s">
        <v>68</v>
      </c>
      <c r="C101" s="11" t="s">
        <v>47</v>
      </c>
      <c r="D101" s="82">
        <v>7.8</v>
      </c>
    </row>
    <row r="102" spans="1:4" ht="12.75">
      <c r="A102" s="32">
        <v>2</v>
      </c>
      <c r="B102" s="41" t="s">
        <v>66</v>
      </c>
      <c r="C102" s="41" t="s">
        <v>36</v>
      </c>
      <c r="D102" s="82">
        <v>7.9</v>
      </c>
    </row>
    <row r="103" spans="1:4" ht="12.75">
      <c r="A103" s="32">
        <v>3</v>
      </c>
      <c r="B103" s="11" t="s">
        <v>70</v>
      </c>
      <c r="C103" s="11" t="s">
        <v>71</v>
      </c>
      <c r="D103" s="82">
        <v>8.4</v>
      </c>
    </row>
    <row r="104" spans="1:4" ht="12.75">
      <c r="A104" s="32">
        <v>4</v>
      </c>
      <c r="B104" s="11" t="s">
        <v>73</v>
      </c>
      <c r="C104" s="11" t="s">
        <v>47</v>
      </c>
      <c r="D104" s="82">
        <v>8.6</v>
      </c>
    </row>
    <row r="105" spans="1:4" ht="12.75">
      <c r="A105" s="32"/>
      <c r="B105" s="51"/>
      <c r="C105" s="41"/>
      <c r="D105" s="82"/>
    </row>
    <row r="106" spans="1:4" ht="12.75">
      <c r="A106" s="32"/>
      <c r="B106" s="51"/>
      <c r="C106" s="41"/>
      <c r="D106" s="82"/>
    </row>
    <row r="107" spans="1:4" ht="12.75">
      <c r="A107" s="32"/>
      <c r="B107" s="51"/>
      <c r="C107" s="41"/>
      <c r="D107" s="82"/>
    </row>
    <row r="108" spans="1:4" ht="12.75">
      <c r="A108" s="32"/>
      <c r="B108" s="51"/>
      <c r="C108" s="41"/>
      <c r="D108" s="82"/>
    </row>
    <row r="109" ht="12.75">
      <c r="D109" s="82"/>
    </row>
    <row r="110" spans="4:5" ht="12.75">
      <c r="D110" s="82"/>
      <c r="E110" s="83"/>
    </row>
    <row r="111" spans="1:5" ht="12.75">
      <c r="A111" s="32"/>
      <c r="B111" s="42"/>
      <c r="C111" s="42"/>
      <c r="D111" s="82"/>
      <c r="E111" s="83"/>
    </row>
    <row r="112" spans="1:5" ht="12.75">
      <c r="A112" s="32"/>
      <c r="B112" s="42"/>
      <c r="C112" s="51"/>
      <c r="D112" s="82"/>
      <c r="E112" s="83"/>
    </row>
    <row r="113" spans="1:5" ht="12.75">
      <c r="A113" s="32"/>
      <c r="B113" s="42"/>
      <c r="C113" s="42"/>
      <c r="D113" s="82"/>
      <c r="E113" s="83"/>
    </row>
    <row r="114" spans="1:5" ht="12.75">
      <c r="A114" s="32"/>
      <c r="B114" s="42"/>
      <c r="C114" s="41"/>
      <c r="D114" s="82"/>
      <c r="E114" s="83"/>
    </row>
    <row r="115" spans="1:4" ht="12.75">
      <c r="A115" s="32"/>
      <c r="B115" s="42"/>
      <c r="C115" s="51"/>
      <c r="D115" s="82"/>
    </row>
  </sheetData>
  <printOptions horizontalCentered="1"/>
  <pageMargins left="0.36" right="0.43" top="0.28" bottom="0.3937007874015748" header="0.2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28">
      <selection activeCell="I50" sqref="I50"/>
    </sheetView>
  </sheetViews>
  <sheetFormatPr defaultColWidth="11.421875" defaultRowHeight="12.75"/>
  <cols>
    <col min="1" max="1" width="6.8515625" style="0" customWidth="1"/>
    <col min="2" max="2" width="32.00390625" style="0" customWidth="1"/>
    <col min="3" max="3" width="20.8515625" style="0" customWidth="1"/>
    <col min="4" max="4" width="7.8515625" style="85" customWidth="1"/>
    <col min="5" max="5" width="9.140625" style="83" customWidth="1"/>
  </cols>
  <sheetData>
    <row r="1" spans="1:5" ht="28.5" customHeight="1">
      <c r="A1" s="75" t="s">
        <v>202</v>
      </c>
      <c r="D1" s="84" t="s">
        <v>1</v>
      </c>
      <c r="E1" s="76" t="s">
        <v>233</v>
      </c>
    </row>
    <row r="2" spans="1:3" ht="24.75" customHeight="1">
      <c r="A2" s="75" t="s">
        <v>204</v>
      </c>
      <c r="B2" s="75"/>
      <c r="C2" s="77"/>
    </row>
    <row r="3" spans="1:5" ht="12.75">
      <c r="A3" s="32">
        <v>1</v>
      </c>
      <c r="B3" s="41" t="s">
        <v>79</v>
      </c>
      <c r="C3" s="41" t="s">
        <v>19</v>
      </c>
      <c r="D3" s="61">
        <v>3.45</v>
      </c>
      <c r="E3" s="83">
        <v>0.1</v>
      </c>
    </row>
    <row r="4" spans="1:5" ht="12.75">
      <c r="A4" s="32">
        <v>2</v>
      </c>
      <c r="B4" s="41" t="s">
        <v>83</v>
      </c>
      <c r="C4" s="41" t="s">
        <v>49</v>
      </c>
      <c r="D4" s="61">
        <v>3.17</v>
      </c>
      <c r="E4" s="83">
        <v>0.2</v>
      </c>
    </row>
    <row r="5" spans="1:5" ht="12.75">
      <c r="A5" s="32">
        <v>3</v>
      </c>
      <c r="B5" s="41" t="s">
        <v>81</v>
      </c>
      <c r="C5" s="41" t="s">
        <v>49</v>
      </c>
      <c r="D5" s="61">
        <v>3.16</v>
      </c>
      <c r="E5" s="83">
        <v>-0.3</v>
      </c>
    </row>
    <row r="6" spans="1:5" ht="12.75">
      <c r="A6" s="32">
        <v>4</v>
      </c>
      <c r="B6" s="41" t="s">
        <v>85</v>
      </c>
      <c r="C6" s="11" t="s">
        <v>47</v>
      </c>
      <c r="D6" s="61">
        <v>3.07</v>
      </c>
      <c r="E6" s="83">
        <v>-0.4</v>
      </c>
    </row>
    <row r="7" spans="1:5" ht="12.75">
      <c r="A7" s="32">
        <v>5</v>
      </c>
      <c r="B7" s="41" t="s">
        <v>87</v>
      </c>
      <c r="C7" s="41" t="s">
        <v>207</v>
      </c>
      <c r="D7" s="61">
        <v>2.96</v>
      </c>
      <c r="E7" s="83">
        <v>-0.3</v>
      </c>
    </row>
    <row r="8" spans="1:5" ht="12.75">
      <c r="A8" s="32">
        <v>6</v>
      </c>
      <c r="B8" s="41" t="s">
        <v>90</v>
      </c>
      <c r="C8" s="41" t="s">
        <v>49</v>
      </c>
      <c r="D8" s="61">
        <v>2.96</v>
      </c>
      <c r="E8" s="83">
        <v>0.2</v>
      </c>
    </row>
    <row r="9" spans="1:5" ht="12.75">
      <c r="A9" s="32">
        <v>7</v>
      </c>
      <c r="B9" s="41" t="s">
        <v>92</v>
      </c>
      <c r="C9" s="12" t="s">
        <v>13</v>
      </c>
      <c r="D9" s="61">
        <v>2.82</v>
      </c>
      <c r="E9" s="83">
        <v>-0.3</v>
      </c>
    </row>
    <row r="10" spans="1:5" ht="12.75">
      <c r="A10" s="32">
        <v>8</v>
      </c>
      <c r="B10" s="41" t="s">
        <v>94</v>
      </c>
      <c r="C10" s="41" t="s">
        <v>49</v>
      </c>
      <c r="D10" s="61">
        <v>2.79</v>
      </c>
      <c r="E10" s="83">
        <v>0.2</v>
      </c>
    </row>
    <row r="11" spans="1:3" ht="24.75" customHeight="1">
      <c r="A11" s="75" t="s">
        <v>210</v>
      </c>
      <c r="B11" s="75"/>
      <c r="C11" s="77"/>
    </row>
    <row r="12" spans="1:5" ht="12.75">
      <c r="A12" s="32">
        <v>1</v>
      </c>
      <c r="B12" s="41" t="s">
        <v>97</v>
      </c>
      <c r="C12" s="41" t="s">
        <v>19</v>
      </c>
      <c r="D12" s="61">
        <v>4.08</v>
      </c>
      <c r="E12" s="83">
        <v>-0.1</v>
      </c>
    </row>
    <row r="13" spans="1:5" ht="12.75">
      <c r="A13" s="32">
        <v>2</v>
      </c>
      <c r="B13" s="12" t="s">
        <v>99</v>
      </c>
      <c r="C13" s="12" t="s">
        <v>13</v>
      </c>
      <c r="D13" s="61">
        <v>3.82</v>
      </c>
      <c r="E13" s="83">
        <v>-0.3</v>
      </c>
    </row>
    <row r="14" spans="1:5" ht="12.75">
      <c r="A14" s="32">
        <v>3</v>
      </c>
      <c r="B14" s="41" t="s">
        <v>105</v>
      </c>
      <c r="C14" s="41" t="s">
        <v>106</v>
      </c>
      <c r="D14" s="61">
        <v>3.77</v>
      </c>
      <c r="E14" s="83">
        <v>0.2</v>
      </c>
    </row>
    <row r="15" spans="1:5" ht="12.75">
      <c r="A15" s="32">
        <v>4</v>
      </c>
      <c r="B15" s="41" t="s">
        <v>103</v>
      </c>
      <c r="C15" s="41" t="s">
        <v>19</v>
      </c>
      <c r="D15" s="61">
        <v>3.58</v>
      </c>
      <c r="E15" s="83">
        <v>-0.1</v>
      </c>
    </row>
    <row r="16" spans="1:5" ht="12.75">
      <c r="A16" s="32">
        <v>5</v>
      </c>
      <c r="B16" s="41" t="s">
        <v>112</v>
      </c>
      <c r="C16" s="41" t="s">
        <v>113</v>
      </c>
      <c r="D16" s="61">
        <v>3.57</v>
      </c>
      <c r="E16" s="83">
        <v>-0.1</v>
      </c>
    </row>
    <row r="17" spans="1:5" ht="12.75">
      <c r="A17" s="32">
        <v>6</v>
      </c>
      <c r="B17" s="12" t="s">
        <v>101</v>
      </c>
      <c r="C17" s="12" t="s">
        <v>13</v>
      </c>
      <c r="D17" s="61">
        <v>3.54</v>
      </c>
      <c r="E17" s="83">
        <v>-0.9</v>
      </c>
    </row>
    <row r="18" spans="1:5" ht="12.75">
      <c r="A18" s="32">
        <v>7</v>
      </c>
      <c r="B18" s="12" t="s">
        <v>115</v>
      </c>
      <c r="C18" s="12" t="s">
        <v>13</v>
      </c>
      <c r="D18" s="61">
        <v>3.4</v>
      </c>
      <c r="E18" s="83">
        <v>-0.3</v>
      </c>
    </row>
    <row r="19" spans="1:5" ht="12.75">
      <c r="A19" s="32">
        <v>8</v>
      </c>
      <c r="B19" s="12" t="s">
        <v>108</v>
      </c>
      <c r="C19" s="41" t="s">
        <v>106</v>
      </c>
      <c r="D19" s="61">
        <v>3.28</v>
      </c>
      <c r="E19" s="83">
        <v>0.2</v>
      </c>
    </row>
    <row r="20" spans="1:5" ht="12.75">
      <c r="A20" s="32">
        <v>9</v>
      </c>
      <c r="B20" s="41" t="s">
        <v>110</v>
      </c>
      <c r="C20" s="41" t="s">
        <v>19</v>
      </c>
      <c r="D20" s="61">
        <v>3.1</v>
      </c>
      <c r="E20" s="83">
        <v>-0.5</v>
      </c>
    </row>
    <row r="21" spans="1:5" ht="12.75">
      <c r="A21" s="32">
        <v>10</v>
      </c>
      <c r="B21" s="41" t="s">
        <v>117</v>
      </c>
      <c r="C21" s="41" t="s">
        <v>49</v>
      </c>
      <c r="D21" s="61">
        <v>3.1</v>
      </c>
      <c r="E21" s="83">
        <v>-0.4</v>
      </c>
    </row>
    <row r="22" spans="1:3" ht="24.75" customHeight="1">
      <c r="A22" s="75" t="s">
        <v>213</v>
      </c>
      <c r="B22" s="75"/>
      <c r="C22" s="77"/>
    </row>
    <row r="23" spans="1:5" ht="12.75">
      <c r="A23" s="32">
        <v>1</v>
      </c>
      <c r="B23" s="42" t="s">
        <v>120</v>
      </c>
      <c r="C23" s="41" t="s">
        <v>25</v>
      </c>
      <c r="D23" s="61">
        <v>4.66</v>
      </c>
      <c r="E23" s="83">
        <v>0.6</v>
      </c>
    </row>
    <row r="24" spans="1:5" ht="12.75">
      <c r="A24" s="32">
        <v>2</v>
      </c>
      <c r="B24" s="41" t="s">
        <v>130</v>
      </c>
      <c r="C24" s="41" t="s">
        <v>19</v>
      </c>
      <c r="D24" s="61">
        <v>4</v>
      </c>
      <c r="E24" s="83">
        <v>0.3</v>
      </c>
    </row>
    <row r="25" spans="1:5" ht="12.75">
      <c r="A25" s="32">
        <v>3</v>
      </c>
      <c r="B25" s="11" t="s">
        <v>144</v>
      </c>
      <c r="C25" s="11" t="s">
        <v>47</v>
      </c>
      <c r="D25" s="61">
        <v>3.78</v>
      </c>
      <c r="E25" s="83">
        <v>0.5</v>
      </c>
    </row>
    <row r="26" spans="1:5" ht="12.75">
      <c r="A26" s="32">
        <v>4</v>
      </c>
      <c r="B26" s="41" t="s">
        <v>124</v>
      </c>
      <c r="C26" s="41" t="s">
        <v>19</v>
      </c>
      <c r="D26" s="61">
        <v>3.74</v>
      </c>
      <c r="E26" s="83">
        <v>0.3</v>
      </c>
    </row>
    <row r="27" spans="1:5" ht="12.75">
      <c r="A27" s="32">
        <v>5</v>
      </c>
      <c r="B27" s="41" t="s">
        <v>122</v>
      </c>
      <c r="C27" s="41" t="s">
        <v>19</v>
      </c>
      <c r="D27" s="61">
        <v>3.74</v>
      </c>
      <c r="E27" s="83">
        <v>2</v>
      </c>
    </row>
    <row r="28" spans="1:5" ht="12.75">
      <c r="A28" s="32">
        <v>6</v>
      </c>
      <c r="B28" s="11" t="s">
        <v>133</v>
      </c>
      <c r="C28" s="11" t="s">
        <v>47</v>
      </c>
      <c r="D28" s="61">
        <v>3.72</v>
      </c>
      <c r="E28" s="83">
        <v>0.2</v>
      </c>
    </row>
    <row r="29" spans="1:5" ht="12.75">
      <c r="A29" s="32">
        <v>7</v>
      </c>
      <c r="B29" s="11" t="s">
        <v>134</v>
      </c>
      <c r="C29" s="11" t="s">
        <v>47</v>
      </c>
      <c r="D29" s="61">
        <v>3.69</v>
      </c>
      <c r="E29" s="83">
        <v>0.2</v>
      </c>
    </row>
    <row r="30" spans="1:5" ht="12.75">
      <c r="A30" s="32">
        <v>8</v>
      </c>
      <c r="B30" s="41" t="s">
        <v>128</v>
      </c>
      <c r="C30" s="41" t="s">
        <v>19</v>
      </c>
      <c r="D30" s="61">
        <v>3.69</v>
      </c>
      <c r="E30" s="83">
        <v>0.5</v>
      </c>
    </row>
    <row r="31" spans="1:5" ht="12.75">
      <c r="A31" s="32">
        <v>9</v>
      </c>
      <c r="B31" s="11" t="s">
        <v>131</v>
      </c>
      <c r="C31" s="11" t="s">
        <v>47</v>
      </c>
      <c r="D31" s="61">
        <v>3.59</v>
      </c>
      <c r="E31" s="83">
        <v>0.5</v>
      </c>
    </row>
    <row r="32" spans="1:5" ht="12.75">
      <c r="A32" s="32">
        <v>10</v>
      </c>
      <c r="B32" s="41" t="s">
        <v>126</v>
      </c>
      <c r="C32" s="41" t="s">
        <v>19</v>
      </c>
      <c r="D32" s="61">
        <v>3.59</v>
      </c>
      <c r="E32" s="83">
        <v>0.3</v>
      </c>
    </row>
    <row r="33" spans="1:5" ht="12.75">
      <c r="A33" s="32">
        <v>11</v>
      </c>
      <c r="B33" s="12" t="s">
        <v>140</v>
      </c>
      <c r="C33" s="41" t="s">
        <v>25</v>
      </c>
      <c r="D33" s="61">
        <v>3.33</v>
      </c>
      <c r="E33" s="83">
        <v>0.8</v>
      </c>
    </row>
    <row r="34" spans="1:5" ht="12.75">
      <c r="A34" s="32">
        <v>12</v>
      </c>
      <c r="B34" s="12" t="s">
        <v>136</v>
      </c>
      <c r="C34" s="41" t="s">
        <v>25</v>
      </c>
      <c r="D34" s="61">
        <v>3.27</v>
      </c>
      <c r="E34" s="83">
        <v>0.3</v>
      </c>
    </row>
    <row r="35" spans="1:5" ht="12.75">
      <c r="A35" s="32">
        <v>13</v>
      </c>
      <c r="B35" s="41" t="s">
        <v>138</v>
      </c>
      <c r="C35" s="41" t="s">
        <v>207</v>
      </c>
      <c r="D35" s="61">
        <v>3.24</v>
      </c>
      <c r="E35" s="83">
        <v>0.7</v>
      </c>
    </row>
    <row r="36" spans="1:5" ht="12.75">
      <c r="A36" s="32">
        <v>14</v>
      </c>
      <c r="B36" s="11" t="s">
        <v>142</v>
      </c>
      <c r="C36" s="11" t="s">
        <v>47</v>
      </c>
      <c r="D36" s="61">
        <v>3.21</v>
      </c>
      <c r="E36" s="83">
        <v>0.2</v>
      </c>
    </row>
    <row r="37" spans="1:3" ht="24.75" customHeight="1">
      <c r="A37" s="75" t="s">
        <v>216</v>
      </c>
      <c r="B37" s="75"/>
      <c r="C37" s="77"/>
    </row>
    <row r="38" spans="1:6" ht="12.75">
      <c r="A38" s="32">
        <v>1</v>
      </c>
      <c r="B38" s="41" t="s">
        <v>28</v>
      </c>
      <c r="C38" s="41" t="s">
        <v>22</v>
      </c>
      <c r="D38" s="61">
        <v>4.78</v>
      </c>
      <c r="E38" s="78">
        <v>0.2</v>
      </c>
      <c r="F38" s="40"/>
    </row>
    <row r="39" spans="1:5" ht="12.75">
      <c r="A39" s="32">
        <v>2</v>
      </c>
      <c r="B39" s="12" t="s">
        <v>12</v>
      </c>
      <c r="C39" s="12" t="s">
        <v>13</v>
      </c>
      <c r="D39" s="61">
        <v>4.32</v>
      </c>
      <c r="E39" s="78">
        <v>0.2</v>
      </c>
    </row>
    <row r="40" spans="1:5" ht="12.75">
      <c r="A40" s="32">
        <v>3</v>
      </c>
      <c r="B40" s="12" t="s">
        <v>15</v>
      </c>
      <c r="C40" s="12" t="s">
        <v>13</v>
      </c>
      <c r="D40" s="61">
        <v>4.22</v>
      </c>
      <c r="E40" s="78">
        <v>-0.1</v>
      </c>
    </row>
    <row r="41" spans="1:5" ht="12.75">
      <c r="A41" s="32">
        <v>4</v>
      </c>
      <c r="B41" s="12" t="s">
        <v>18</v>
      </c>
      <c r="C41" s="41" t="s">
        <v>19</v>
      </c>
      <c r="D41" s="61">
        <v>4.05</v>
      </c>
      <c r="E41" s="78">
        <v>0.2</v>
      </c>
    </row>
    <row r="42" spans="1:5" ht="12.75">
      <c r="A42" s="32">
        <v>5</v>
      </c>
      <c r="B42" s="12" t="s">
        <v>24</v>
      </c>
      <c r="C42" s="41" t="s">
        <v>25</v>
      </c>
      <c r="D42" s="61">
        <v>3.78</v>
      </c>
      <c r="E42" s="78">
        <v>0.2</v>
      </c>
    </row>
    <row r="43" spans="1:6" ht="12.75">
      <c r="A43" s="32">
        <v>6</v>
      </c>
      <c r="B43" s="41" t="s">
        <v>21</v>
      </c>
      <c r="C43" s="41" t="s">
        <v>22</v>
      </c>
      <c r="D43" s="61">
        <v>3.67</v>
      </c>
      <c r="E43" s="78">
        <v>0.2</v>
      </c>
      <c r="F43" s="40"/>
    </row>
    <row r="44" spans="1:3" ht="24.75" customHeight="1">
      <c r="A44" s="75" t="s">
        <v>218</v>
      </c>
      <c r="B44" s="75"/>
      <c r="C44" s="77"/>
    </row>
    <row r="45" spans="1:6" ht="12.75">
      <c r="A45" s="32">
        <v>1</v>
      </c>
      <c r="B45" s="41" t="s">
        <v>33</v>
      </c>
      <c r="C45" s="41" t="s">
        <v>22</v>
      </c>
      <c r="D45" s="61">
        <v>4.82</v>
      </c>
      <c r="E45" s="86">
        <v>-0.2</v>
      </c>
      <c r="F45" s="40"/>
    </row>
    <row r="46" spans="1:6" ht="12.75">
      <c r="A46" s="32">
        <v>2</v>
      </c>
      <c r="B46" s="41" t="s">
        <v>35</v>
      </c>
      <c r="C46" s="41" t="s">
        <v>36</v>
      </c>
      <c r="D46" s="61">
        <v>4.69</v>
      </c>
      <c r="E46" s="86">
        <v>-0.1</v>
      </c>
      <c r="F46" s="40"/>
    </row>
    <row r="47" spans="1:6" ht="12.75">
      <c r="A47" s="32">
        <v>3</v>
      </c>
      <c r="B47" s="41" t="s">
        <v>38</v>
      </c>
      <c r="C47" s="41" t="s">
        <v>39</v>
      </c>
      <c r="D47" s="61">
        <v>4.58</v>
      </c>
      <c r="E47" s="86">
        <v>-0.4</v>
      </c>
      <c r="F47" s="40"/>
    </row>
    <row r="48" spans="1:6" ht="12.75">
      <c r="A48" s="32">
        <v>4</v>
      </c>
      <c r="B48" s="12" t="s">
        <v>44</v>
      </c>
      <c r="C48" s="12" t="s">
        <v>13</v>
      </c>
      <c r="D48" s="61">
        <v>4.54</v>
      </c>
      <c r="E48" s="87">
        <v>0.2</v>
      </c>
      <c r="F48" s="40"/>
    </row>
    <row r="49" spans="1:6" ht="12.75">
      <c r="A49" s="32">
        <v>5</v>
      </c>
      <c r="B49" s="42" t="s">
        <v>41</v>
      </c>
      <c r="C49" s="51" t="s">
        <v>42</v>
      </c>
      <c r="D49" s="61">
        <v>4.22</v>
      </c>
      <c r="E49" s="79">
        <v>-0.1</v>
      </c>
      <c r="F49" s="40"/>
    </row>
    <row r="50" spans="1:5" ht="12.75">
      <c r="A50" s="32">
        <v>6</v>
      </c>
      <c r="B50" s="11" t="s">
        <v>50</v>
      </c>
      <c r="C50" s="11" t="s">
        <v>47</v>
      </c>
      <c r="D50" s="61">
        <v>4.02</v>
      </c>
      <c r="E50" s="78">
        <v>-0.2</v>
      </c>
    </row>
    <row r="51" spans="1:6" ht="12.75">
      <c r="A51" s="32">
        <v>7</v>
      </c>
      <c r="B51" s="11" t="s">
        <v>46</v>
      </c>
      <c r="C51" s="11" t="s">
        <v>47</v>
      </c>
      <c r="D51" s="61">
        <v>3.94</v>
      </c>
      <c r="E51" s="87">
        <v>-0.1</v>
      </c>
      <c r="F51" s="40"/>
    </row>
    <row r="52" spans="1:6" ht="12.75">
      <c r="A52" s="32">
        <v>8</v>
      </c>
      <c r="B52" s="41" t="s">
        <v>48</v>
      </c>
      <c r="C52" s="41" t="s">
        <v>49</v>
      </c>
      <c r="D52" s="61">
        <v>3.91</v>
      </c>
      <c r="E52" s="87">
        <v>0.2</v>
      </c>
      <c r="F52" s="40"/>
    </row>
    <row r="53" spans="1:6" ht="12.75">
      <c r="A53" s="32">
        <v>9</v>
      </c>
      <c r="B53" s="11" t="s">
        <v>52</v>
      </c>
      <c r="C53" s="11" t="s">
        <v>47</v>
      </c>
      <c r="D53" s="61">
        <v>3.86</v>
      </c>
      <c r="E53" s="86">
        <v>0.5</v>
      </c>
      <c r="F53" s="40"/>
    </row>
    <row r="54" spans="1:5" ht="12.75">
      <c r="A54" s="32">
        <v>10</v>
      </c>
      <c r="B54" s="41" t="s">
        <v>54</v>
      </c>
      <c r="C54" s="41" t="s">
        <v>19</v>
      </c>
      <c r="D54" s="61">
        <v>3.74</v>
      </c>
      <c r="E54" s="78">
        <v>-0.2</v>
      </c>
    </row>
    <row r="55" spans="1:6" ht="12.75">
      <c r="A55" s="32">
        <v>11</v>
      </c>
      <c r="B55" s="41" t="s">
        <v>55</v>
      </c>
      <c r="C55" s="41" t="s">
        <v>49</v>
      </c>
      <c r="D55" s="61">
        <v>3.32</v>
      </c>
      <c r="E55" s="86">
        <v>0.4</v>
      </c>
      <c r="F55" s="40"/>
    </row>
    <row r="56" spans="1:3" ht="24.75" customHeight="1">
      <c r="A56" s="75" t="s">
        <v>221</v>
      </c>
      <c r="B56" s="75"/>
      <c r="C56" s="77"/>
    </row>
    <row r="57" spans="1:6" ht="12.75">
      <c r="A57" s="32">
        <v>1</v>
      </c>
      <c r="B57" s="41" t="s">
        <v>149</v>
      </c>
      <c r="C57" s="41" t="s">
        <v>39</v>
      </c>
      <c r="D57" s="61">
        <v>4.24</v>
      </c>
      <c r="E57" s="95">
        <v>2.1</v>
      </c>
      <c r="F57" s="83" t="s">
        <v>234</v>
      </c>
    </row>
    <row r="58" spans="1:5" ht="12.75">
      <c r="A58" s="32">
        <v>1</v>
      </c>
      <c r="B58" s="41" t="s">
        <v>146</v>
      </c>
      <c r="C58" s="41" t="s">
        <v>36</v>
      </c>
      <c r="D58" s="61">
        <v>3.69</v>
      </c>
      <c r="E58" s="83">
        <v>1.1</v>
      </c>
    </row>
    <row r="59" spans="1:5" ht="12.75">
      <c r="A59" s="32">
        <v>2</v>
      </c>
      <c r="B59" s="41" t="s">
        <v>148</v>
      </c>
      <c r="C59" s="41" t="s">
        <v>36</v>
      </c>
      <c r="D59" s="61">
        <v>3.65</v>
      </c>
      <c r="E59" s="83">
        <v>0.6</v>
      </c>
    </row>
    <row r="60" spans="1:5" ht="12.75">
      <c r="A60" s="32">
        <v>2</v>
      </c>
      <c r="B60" s="41" t="s">
        <v>151</v>
      </c>
      <c r="C60" s="41" t="s">
        <v>49</v>
      </c>
      <c r="D60" s="61">
        <v>3.53</v>
      </c>
      <c r="E60" s="83">
        <v>1.5</v>
      </c>
    </row>
    <row r="61" spans="1:5" ht="12.75">
      <c r="A61" s="32">
        <v>4</v>
      </c>
      <c r="B61" s="11" t="s">
        <v>156</v>
      </c>
      <c r="C61" s="11" t="s">
        <v>47</v>
      </c>
      <c r="D61" s="61">
        <v>3.52</v>
      </c>
      <c r="E61" s="83">
        <v>0.6</v>
      </c>
    </row>
    <row r="62" spans="1:5" ht="12.75">
      <c r="A62" s="60">
        <v>3</v>
      </c>
      <c r="B62" s="41" t="s">
        <v>152</v>
      </c>
      <c r="C62" s="41" t="s">
        <v>49</v>
      </c>
      <c r="D62" s="61">
        <v>3.43</v>
      </c>
      <c r="E62" s="83">
        <v>1.4</v>
      </c>
    </row>
    <row r="63" spans="1:5" ht="12.75">
      <c r="A63" s="32">
        <v>3</v>
      </c>
      <c r="B63" s="41" t="s">
        <v>154</v>
      </c>
      <c r="C63" s="12" t="s">
        <v>13</v>
      </c>
      <c r="D63" s="61">
        <v>3.23</v>
      </c>
      <c r="E63" s="83">
        <v>0.5</v>
      </c>
    </row>
    <row r="64" spans="1:5" ht="12.75">
      <c r="A64" s="32">
        <v>4</v>
      </c>
      <c r="B64" s="41" t="s">
        <v>158</v>
      </c>
      <c r="C64" s="41" t="s">
        <v>159</v>
      </c>
      <c r="D64" s="61">
        <v>2.64</v>
      </c>
      <c r="E64" s="83">
        <v>0.3</v>
      </c>
    </row>
    <row r="65" spans="1:3" ht="24.75" customHeight="1">
      <c r="A65" s="75" t="s">
        <v>223</v>
      </c>
      <c r="B65" s="75"/>
      <c r="C65" s="77"/>
    </row>
    <row r="66" spans="1:5" ht="12.75">
      <c r="A66" s="32">
        <v>1</v>
      </c>
      <c r="B66" s="42" t="s">
        <v>161</v>
      </c>
      <c r="C66" s="41" t="s">
        <v>49</v>
      </c>
      <c r="D66" s="61">
        <v>4.05</v>
      </c>
      <c r="E66" s="83">
        <v>0.6</v>
      </c>
    </row>
    <row r="67" spans="1:5" ht="12.75">
      <c r="A67" s="60">
        <v>2</v>
      </c>
      <c r="B67" s="12" t="s">
        <v>171</v>
      </c>
      <c r="C67" s="41" t="s">
        <v>25</v>
      </c>
      <c r="D67" s="61">
        <v>3.67</v>
      </c>
      <c r="E67" s="83">
        <v>0.6</v>
      </c>
    </row>
    <row r="68" spans="1:5" ht="12.75">
      <c r="A68" s="32">
        <v>3</v>
      </c>
      <c r="B68" s="12" t="s">
        <v>175</v>
      </c>
      <c r="C68" s="41" t="s">
        <v>25</v>
      </c>
      <c r="D68" s="61">
        <v>3.67</v>
      </c>
      <c r="E68" s="83">
        <v>0.7</v>
      </c>
    </row>
    <row r="69" spans="1:5" ht="12.75">
      <c r="A69" s="32">
        <v>4</v>
      </c>
      <c r="B69" s="41" t="s">
        <v>165</v>
      </c>
      <c r="C69" s="41" t="s">
        <v>19</v>
      </c>
      <c r="D69" s="61">
        <v>3.6</v>
      </c>
      <c r="E69" s="83">
        <v>0.6</v>
      </c>
    </row>
    <row r="70" spans="1:5" ht="12.75">
      <c r="A70" s="60">
        <v>5</v>
      </c>
      <c r="B70" s="12" t="s">
        <v>163</v>
      </c>
      <c r="C70" s="12" t="s">
        <v>13</v>
      </c>
      <c r="D70" s="61">
        <v>3.58</v>
      </c>
      <c r="E70" s="83">
        <v>0.9</v>
      </c>
    </row>
    <row r="71" spans="1:5" ht="12.75">
      <c r="A71" s="32">
        <v>6</v>
      </c>
      <c r="B71" s="41" t="s">
        <v>179</v>
      </c>
      <c r="C71" s="41" t="s">
        <v>49</v>
      </c>
      <c r="D71" s="61">
        <v>3.5</v>
      </c>
      <c r="E71" s="83">
        <v>0.5</v>
      </c>
    </row>
    <row r="72" spans="1:5" ht="12.75">
      <c r="A72" s="32">
        <v>7</v>
      </c>
      <c r="B72" s="41" t="s">
        <v>177</v>
      </c>
      <c r="C72" s="41" t="s">
        <v>19</v>
      </c>
      <c r="D72" s="61">
        <v>3.47</v>
      </c>
      <c r="E72" s="83">
        <v>0.3</v>
      </c>
    </row>
    <row r="73" spans="1:5" ht="12.75">
      <c r="A73" s="60">
        <v>8</v>
      </c>
      <c r="B73" s="12" t="s">
        <v>167</v>
      </c>
      <c r="C73" s="12" t="s">
        <v>13</v>
      </c>
      <c r="D73" s="61">
        <v>3.46</v>
      </c>
      <c r="E73" s="83">
        <v>0.4</v>
      </c>
    </row>
    <row r="74" spans="1:5" ht="12.75">
      <c r="A74" s="32">
        <v>9</v>
      </c>
      <c r="B74" s="41" t="s">
        <v>173</v>
      </c>
      <c r="C74" s="41" t="s">
        <v>49</v>
      </c>
      <c r="D74" s="61">
        <v>3.4</v>
      </c>
      <c r="E74" s="83">
        <v>0</v>
      </c>
    </row>
    <row r="75" spans="1:5" ht="12.75">
      <c r="A75" s="32">
        <v>10</v>
      </c>
      <c r="B75" s="41" t="s">
        <v>181</v>
      </c>
      <c r="C75" s="41" t="s">
        <v>19</v>
      </c>
      <c r="D75" s="61">
        <v>3.23</v>
      </c>
      <c r="E75" s="83">
        <v>1.3</v>
      </c>
    </row>
    <row r="76" spans="1:5" ht="12.75">
      <c r="A76" s="60">
        <v>11</v>
      </c>
      <c r="B76" s="41" t="s">
        <v>169</v>
      </c>
      <c r="C76" s="41" t="s">
        <v>49</v>
      </c>
      <c r="D76" s="61">
        <v>3.18</v>
      </c>
      <c r="E76" s="83">
        <v>0.4</v>
      </c>
    </row>
    <row r="77" spans="1:5" ht="12.75">
      <c r="A77" s="32">
        <v>12</v>
      </c>
      <c r="B77" s="12" t="s">
        <v>183</v>
      </c>
      <c r="C77" s="12" t="s">
        <v>13</v>
      </c>
      <c r="D77" s="61">
        <v>3.13</v>
      </c>
      <c r="E77" s="83">
        <v>0.9</v>
      </c>
    </row>
    <row r="78" spans="1:5" ht="12.75">
      <c r="A78" s="32">
        <v>13</v>
      </c>
      <c r="B78" s="41" t="s">
        <v>185</v>
      </c>
      <c r="C78" s="41" t="s">
        <v>19</v>
      </c>
      <c r="D78" s="61">
        <v>3.01</v>
      </c>
      <c r="E78" s="83">
        <v>0.7</v>
      </c>
    </row>
    <row r="79" spans="1:3" ht="24.75" customHeight="1">
      <c r="A79" s="75" t="s">
        <v>228</v>
      </c>
      <c r="B79" s="75"/>
      <c r="C79" s="77"/>
    </row>
    <row r="80" spans="1:5" ht="12.75">
      <c r="A80" s="32">
        <v>1</v>
      </c>
      <c r="B80" s="41" t="s">
        <v>191</v>
      </c>
      <c r="C80" s="41" t="s">
        <v>19</v>
      </c>
      <c r="D80" s="61">
        <v>4.3</v>
      </c>
      <c r="E80" s="83">
        <v>-0.7</v>
      </c>
    </row>
    <row r="81" spans="1:5" ht="12.75">
      <c r="A81" s="32">
        <v>2</v>
      </c>
      <c r="B81" s="11" t="s">
        <v>189</v>
      </c>
      <c r="C81" s="11" t="s">
        <v>47</v>
      </c>
      <c r="D81" s="61">
        <v>4.13</v>
      </c>
      <c r="E81" s="83">
        <v>-1.4</v>
      </c>
    </row>
    <row r="82" spans="1:5" ht="12.75">
      <c r="A82" s="32">
        <v>3</v>
      </c>
      <c r="B82" s="41" t="s">
        <v>193</v>
      </c>
      <c r="C82" s="41" t="s">
        <v>19</v>
      </c>
      <c r="D82" s="61">
        <v>3.98</v>
      </c>
      <c r="E82" s="83">
        <v>-0.8</v>
      </c>
    </row>
    <row r="83" spans="1:5" ht="12.75">
      <c r="A83" s="32">
        <v>4</v>
      </c>
      <c r="B83" s="41" t="s">
        <v>188</v>
      </c>
      <c r="C83" s="41" t="s">
        <v>49</v>
      </c>
      <c r="D83" s="61">
        <v>3.6</v>
      </c>
      <c r="E83" s="83">
        <v>-1.2</v>
      </c>
    </row>
    <row r="84" spans="1:5" ht="12.75">
      <c r="A84" s="32">
        <v>5</v>
      </c>
      <c r="B84" s="11" t="s">
        <v>198</v>
      </c>
      <c r="C84" s="11" t="s">
        <v>47</v>
      </c>
      <c r="D84" s="61">
        <v>3.49</v>
      </c>
      <c r="E84" s="83">
        <v>-0.6</v>
      </c>
    </row>
    <row r="85" spans="1:5" ht="12.75">
      <c r="A85" s="32">
        <v>6</v>
      </c>
      <c r="B85" s="12" t="s">
        <v>196</v>
      </c>
      <c r="C85" s="41" t="s">
        <v>25</v>
      </c>
      <c r="D85" s="61">
        <v>3.43</v>
      </c>
      <c r="E85" s="83">
        <v>1.3</v>
      </c>
    </row>
    <row r="86" spans="1:5" ht="12.75">
      <c r="A86" s="32">
        <v>7</v>
      </c>
      <c r="B86" s="12" t="s">
        <v>195</v>
      </c>
      <c r="C86" s="41" t="s">
        <v>49</v>
      </c>
      <c r="D86" s="61">
        <v>3.37</v>
      </c>
      <c r="E86" s="83">
        <v>-1.3</v>
      </c>
    </row>
    <row r="87" spans="1:3" ht="24.75" customHeight="1">
      <c r="A87" s="75" t="s">
        <v>230</v>
      </c>
      <c r="B87" s="75"/>
      <c r="C87" s="77"/>
    </row>
    <row r="88" spans="1:5" ht="12.75">
      <c r="A88" s="32">
        <v>1</v>
      </c>
      <c r="B88" s="41" t="s">
        <v>57</v>
      </c>
      <c r="C88" s="41" t="s">
        <v>36</v>
      </c>
      <c r="D88" s="88">
        <v>4.63</v>
      </c>
      <c r="E88" s="83">
        <v>0.3</v>
      </c>
    </row>
    <row r="89" spans="1:5" ht="12.75">
      <c r="A89" s="32">
        <v>2</v>
      </c>
      <c r="B89" s="42" t="s">
        <v>58</v>
      </c>
      <c r="C89" s="11" t="s">
        <v>13</v>
      </c>
      <c r="D89" s="88">
        <v>4.54</v>
      </c>
      <c r="E89" s="83">
        <v>0.4</v>
      </c>
    </row>
    <row r="90" spans="1:5" ht="12.75">
      <c r="A90" s="32">
        <v>3</v>
      </c>
      <c r="B90" s="42" t="s">
        <v>60</v>
      </c>
      <c r="C90" s="11" t="s">
        <v>47</v>
      </c>
      <c r="D90" s="88">
        <v>4.3</v>
      </c>
      <c r="E90" s="83">
        <v>1</v>
      </c>
    </row>
    <row r="91" spans="1:3" ht="24.75" customHeight="1">
      <c r="A91" s="75" t="s">
        <v>231</v>
      </c>
      <c r="B91" s="75"/>
      <c r="C91" s="77"/>
    </row>
    <row r="92" spans="1:5" ht="12.75">
      <c r="A92" s="32">
        <v>1</v>
      </c>
      <c r="B92" s="11" t="s">
        <v>68</v>
      </c>
      <c r="C92" s="11" t="s">
        <v>47</v>
      </c>
      <c r="D92" s="88">
        <v>5.1</v>
      </c>
      <c r="E92" s="83">
        <v>0.4</v>
      </c>
    </row>
    <row r="93" spans="1:5" ht="12.75">
      <c r="A93" s="32">
        <v>2</v>
      </c>
      <c r="B93" s="11" t="s">
        <v>73</v>
      </c>
      <c r="C93" s="11" t="s">
        <v>47</v>
      </c>
      <c r="D93" s="88">
        <v>4.82</v>
      </c>
      <c r="E93" s="83">
        <v>1</v>
      </c>
    </row>
    <row r="94" spans="1:5" ht="12.75">
      <c r="A94" s="32">
        <v>3</v>
      </c>
      <c r="B94" s="41" t="s">
        <v>66</v>
      </c>
      <c r="C94" s="41" t="s">
        <v>36</v>
      </c>
      <c r="D94" s="88">
        <v>4.64</v>
      </c>
      <c r="E94" s="83">
        <v>0.8</v>
      </c>
    </row>
    <row r="95" spans="1:5" ht="12.75">
      <c r="A95" s="32">
        <v>4</v>
      </c>
      <c r="B95" s="11" t="s">
        <v>70</v>
      </c>
      <c r="C95" s="11" t="s">
        <v>71</v>
      </c>
      <c r="D95" s="88">
        <v>4.39</v>
      </c>
      <c r="E95" s="83">
        <v>0.2</v>
      </c>
    </row>
    <row r="96" spans="1:4" ht="12.75">
      <c r="A96" s="32"/>
      <c r="B96" s="51"/>
      <c r="C96" s="41"/>
      <c r="D96" s="88"/>
    </row>
    <row r="97" spans="1:4" ht="12.75">
      <c r="A97" s="32"/>
      <c r="B97" s="51"/>
      <c r="C97" s="41"/>
      <c r="D97" s="88"/>
    </row>
    <row r="98" spans="1:4" ht="12.75">
      <c r="A98" s="32"/>
      <c r="B98" s="51"/>
      <c r="C98" s="41"/>
      <c r="D98" s="88"/>
    </row>
    <row r="99" spans="1:4" ht="12.75">
      <c r="A99" s="32"/>
      <c r="B99" s="51"/>
      <c r="C99" s="41"/>
      <c r="D99" s="88"/>
    </row>
    <row r="100" ht="12.75">
      <c r="D100" s="88"/>
    </row>
    <row r="101" ht="12.75">
      <c r="D101" s="88"/>
    </row>
    <row r="102" spans="1:4" ht="12.75">
      <c r="A102" s="32"/>
      <c r="B102" s="42"/>
      <c r="C102" s="42"/>
      <c r="D102" s="88"/>
    </row>
    <row r="103" spans="1:4" ht="12.75">
      <c r="A103" s="32"/>
      <c r="B103" s="42"/>
      <c r="C103" s="51"/>
      <c r="D103" s="88"/>
    </row>
    <row r="104" spans="1:4" ht="12.75">
      <c r="A104" s="32"/>
      <c r="B104" s="42"/>
      <c r="C104" s="42"/>
      <c r="D104" s="88"/>
    </row>
    <row r="105" spans="1:4" ht="12.75">
      <c r="A105" s="32"/>
      <c r="B105" s="42"/>
      <c r="C105" s="41"/>
      <c r="D105" s="88"/>
    </row>
    <row r="106" spans="1:4" ht="12.75">
      <c r="A106" s="32"/>
      <c r="B106" s="42"/>
      <c r="C106" s="51"/>
      <c r="D106" s="88"/>
    </row>
  </sheetData>
  <printOptions horizontalCentered="1"/>
  <pageMargins left="0.36" right="0.43" top="0.28" bottom="0.3937007874015748" header="0.2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B16">
      <selection activeCell="I17" sqref="I17"/>
    </sheetView>
  </sheetViews>
  <sheetFormatPr defaultColWidth="11.421875" defaultRowHeight="12.75" outlineLevelCol="1"/>
  <cols>
    <col min="1" max="1" width="6.421875" style="40" hidden="1" customWidth="1" outlineLevel="1"/>
    <col min="2" max="2" width="8.140625" style="0" customWidth="1" collapsed="1"/>
    <col min="3" max="3" width="28.421875" style="0" customWidth="1"/>
    <col min="4" max="4" width="20.8515625" style="0" customWidth="1"/>
    <col min="5" max="5" width="11.421875" style="83" customWidth="1"/>
  </cols>
  <sheetData>
    <row r="1" spans="1:6" ht="28.5" customHeight="1">
      <c r="A1" s="89" t="s">
        <v>235</v>
      </c>
      <c r="B1" s="75" t="s">
        <v>202</v>
      </c>
      <c r="F1" s="75"/>
    </row>
    <row r="2" spans="1:5" ht="24.75" customHeight="1">
      <c r="A2" s="89"/>
      <c r="B2" s="75" t="s">
        <v>216</v>
      </c>
      <c r="C2" s="77" t="s">
        <v>236</v>
      </c>
      <c r="D2" s="75"/>
      <c r="E2" s="77" t="s">
        <v>237</v>
      </c>
    </row>
    <row r="3" spans="1:5" ht="12.75">
      <c r="A3" s="90">
        <v>2</v>
      </c>
      <c r="B3" s="32">
        <v>1</v>
      </c>
      <c r="C3" s="41" t="s">
        <v>28</v>
      </c>
      <c r="D3" s="41" t="s">
        <v>22</v>
      </c>
      <c r="E3" s="91">
        <v>10</v>
      </c>
    </row>
    <row r="4" spans="1:5" ht="12.75">
      <c r="A4" s="90">
        <v>3</v>
      </c>
      <c r="B4" s="32">
        <v>2</v>
      </c>
      <c r="C4" s="12" t="s">
        <v>12</v>
      </c>
      <c r="D4" s="12" t="s">
        <v>13</v>
      </c>
      <c r="E4" s="91">
        <v>10.4</v>
      </c>
    </row>
    <row r="5" spans="1:5" ht="12.75">
      <c r="A5" s="90">
        <v>4</v>
      </c>
      <c r="B5" s="32">
        <v>3</v>
      </c>
      <c r="C5" s="12" t="s">
        <v>18</v>
      </c>
      <c r="D5" s="41" t="s">
        <v>19</v>
      </c>
      <c r="E5" s="91">
        <v>10.8</v>
      </c>
    </row>
    <row r="6" spans="1:5" ht="12.75">
      <c r="A6" s="90">
        <v>5</v>
      </c>
      <c r="B6" s="32">
        <v>4</v>
      </c>
      <c r="C6" s="12" t="s">
        <v>15</v>
      </c>
      <c r="D6" s="12" t="s">
        <v>13</v>
      </c>
      <c r="E6" s="91">
        <v>11.4</v>
      </c>
    </row>
    <row r="7" spans="1:5" ht="12.75">
      <c r="A7" s="90">
        <v>6</v>
      </c>
      <c r="B7" s="32">
        <v>5</v>
      </c>
      <c r="C7" s="12" t="s">
        <v>24</v>
      </c>
      <c r="D7" s="41" t="s">
        <v>25</v>
      </c>
      <c r="E7" s="91">
        <v>11.7</v>
      </c>
    </row>
    <row r="8" spans="1:5" ht="12.75">
      <c r="A8" s="90"/>
      <c r="B8" s="32">
        <v>6</v>
      </c>
      <c r="C8" s="41" t="s">
        <v>21</v>
      </c>
      <c r="D8" s="41" t="s">
        <v>22</v>
      </c>
      <c r="E8" s="91">
        <v>11.8</v>
      </c>
    </row>
    <row r="9" spans="1:5" ht="12.75">
      <c r="A9" s="92"/>
      <c r="B9" s="32"/>
      <c r="C9" s="41"/>
      <c r="D9" s="41"/>
      <c r="E9" s="91"/>
    </row>
    <row r="10" spans="1:5" ht="24.75" customHeight="1">
      <c r="A10" s="89"/>
      <c r="B10" s="75" t="s">
        <v>218</v>
      </c>
      <c r="C10" s="77" t="s">
        <v>238</v>
      </c>
      <c r="D10" s="80" t="s">
        <v>239</v>
      </c>
      <c r="E10" s="77" t="s">
        <v>240</v>
      </c>
    </row>
    <row r="11" spans="1:5" ht="12.75">
      <c r="A11" s="90">
        <v>3</v>
      </c>
      <c r="B11" s="32">
        <v>1</v>
      </c>
      <c r="C11" s="41" t="s">
        <v>33</v>
      </c>
      <c r="D11" s="41" t="s">
        <v>22</v>
      </c>
      <c r="E11" s="91">
        <v>9.4</v>
      </c>
    </row>
    <row r="12" spans="1:5" ht="12.75">
      <c r="A12" s="90">
        <v>2</v>
      </c>
      <c r="B12" s="32">
        <v>2</v>
      </c>
      <c r="C12" s="41" t="s">
        <v>35</v>
      </c>
      <c r="D12" s="41" t="s">
        <v>36</v>
      </c>
      <c r="E12" s="91">
        <v>9.6</v>
      </c>
    </row>
    <row r="13" spans="1:5" ht="12.75">
      <c r="A13" s="92"/>
      <c r="B13" s="32">
        <v>3</v>
      </c>
      <c r="C13" s="41" t="s">
        <v>38</v>
      </c>
      <c r="D13" s="41" t="s">
        <v>39</v>
      </c>
      <c r="E13" s="91">
        <v>10.1</v>
      </c>
    </row>
    <row r="14" spans="1:5" ht="12.75">
      <c r="A14" s="92"/>
      <c r="B14" s="32">
        <v>4</v>
      </c>
      <c r="C14" s="12" t="s">
        <v>44</v>
      </c>
      <c r="D14" s="12" t="s">
        <v>13</v>
      </c>
      <c r="E14" s="91">
        <v>11</v>
      </c>
    </row>
    <row r="15" spans="1:5" ht="12.75">
      <c r="A15" s="92"/>
      <c r="B15" s="32">
        <v>5</v>
      </c>
      <c r="C15" s="42" t="s">
        <v>41</v>
      </c>
      <c r="D15" s="51" t="s">
        <v>42</v>
      </c>
      <c r="E15" s="91">
        <v>11.3</v>
      </c>
    </row>
    <row r="16" spans="1:5" ht="12.75">
      <c r="A16" s="92"/>
      <c r="B16" s="32">
        <v>6</v>
      </c>
      <c r="C16" s="11" t="s">
        <v>46</v>
      </c>
      <c r="D16" s="11" t="s">
        <v>47</v>
      </c>
      <c r="E16" s="91">
        <v>11.3</v>
      </c>
    </row>
    <row r="17" spans="1:5" ht="12.75">
      <c r="A17" s="92"/>
      <c r="B17" s="32"/>
      <c r="C17" s="11"/>
      <c r="D17" s="3" t="s">
        <v>241</v>
      </c>
      <c r="E17" s="93" t="s">
        <v>242</v>
      </c>
    </row>
    <row r="18" spans="1:5" ht="12.75">
      <c r="A18" s="92"/>
      <c r="B18" s="32">
        <v>1</v>
      </c>
      <c r="C18" s="41" t="s">
        <v>48</v>
      </c>
      <c r="D18" s="41" t="s">
        <v>49</v>
      </c>
      <c r="E18" s="91">
        <v>11.4</v>
      </c>
    </row>
    <row r="19" spans="1:5" ht="12.75">
      <c r="A19" s="92"/>
      <c r="B19" s="32">
        <v>2</v>
      </c>
      <c r="C19" s="11" t="s">
        <v>52</v>
      </c>
      <c r="D19" s="11" t="s">
        <v>47</v>
      </c>
      <c r="E19" s="91">
        <v>12.7</v>
      </c>
    </row>
    <row r="20" spans="1:5" ht="12.75">
      <c r="A20" s="92"/>
      <c r="B20" s="32">
        <v>3</v>
      </c>
      <c r="C20" s="11" t="s">
        <v>50</v>
      </c>
      <c r="D20" s="11" t="s">
        <v>47</v>
      </c>
      <c r="E20" s="91">
        <v>14.5</v>
      </c>
    </row>
    <row r="21" spans="1:5" ht="12.75">
      <c r="A21" s="92"/>
      <c r="B21" s="32"/>
      <c r="C21" s="41" t="s">
        <v>54</v>
      </c>
      <c r="D21" s="41" t="s">
        <v>19</v>
      </c>
      <c r="E21" s="37" t="s">
        <v>29</v>
      </c>
    </row>
    <row r="22" spans="1:5" ht="12.75">
      <c r="A22" s="92"/>
      <c r="B22" s="94"/>
      <c r="C22" s="41" t="s">
        <v>55</v>
      </c>
      <c r="D22" s="41" t="s">
        <v>49</v>
      </c>
      <c r="E22" s="9" t="s">
        <v>29</v>
      </c>
    </row>
    <row r="23" spans="1:4" ht="12.75">
      <c r="A23" s="92"/>
      <c r="B23" s="32"/>
      <c r="C23" s="42"/>
      <c r="D23" s="41"/>
    </row>
    <row r="24" spans="1:5" ht="24.75" customHeight="1">
      <c r="A24" s="89"/>
      <c r="B24" s="75" t="s">
        <v>230</v>
      </c>
      <c r="C24" s="77" t="s">
        <v>238</v>
      </c>
      <c r="E24" s="77" t="s">
        <v>243</v>
      </c>
    </row>
    <row r="25" spans="1:5" ht="12.75">
      <c r="A25" s="90">
        <v>3</v>
      </c>
      <c r="B25" s="32">
        <v>1</v>
      </c>
      <c r="C25" s="42" t="s">
        <v>58</v>
      </c>
      <c r="D25" s="11" t="s">
        <v>13</v>
      </c>
      <c r="E25" s="91">
        <v>10.5</v>
      </c>
    </row>
    <row r="26" spans="1:5" ht="12.75">
      <c r="A26" s="90">
        <v>2</v>
      </c>
      <c r="B26" s="32">
        <v>2</v>
      </c>
      <c r="C26" s="41" t="s">
        <v>57</v>
      </c>
      <c r="D26" s="41" t="s">
        <v>36</v>
      </c>
      <c r="E26" s="91">
        <v>11.5</v>
      </c>
    </row>
    <row r="27" spans="1:5" ht="12.75">
      <c r="A27" s="90">
        <v>4</v>
      </c>
      <c r="B27" s="32">
        <v>3</v>
      </c>
      <c r="C27" s="42" t="s">
        <v>60</v>
      </c>
      <c r="D27" s="11" t="s">
        <v>47</v>
      </c>
      <c r="E27" s="91">
        <v>11.6</v>
      </c>
    </row>
    <row r="28" spans="1:4" ht="12.75">
      <c r="A28" s="92"/>
      <c r="B28" s="60"/>
      <c r="C28" s="51"/>
      <c r="D28" s="51"/>
    </row>
    <row r="29" spans="1:5" ht="24.75" customHeight="1">
      <c r="A29" s="89"/>
      <c r="B29" s="75" t="s">
        <v>231</v>
      </c>
      <c r="C29" s="77" t="s">
        <v>244</v>
      </c>
      <c r="E29" s="77" t="s">
        <v>212</v>
      </c>
    </row>
    <row r="30" spans="1:5" ht="12.75">
      <c r="A30" s="90">
        <v>4</v>
      </c>
      <c r="B30" s="32">
        <v>1</v>
      </c>
      <c r="C30" s="41" t="s">
        <v>66</v>
      </c>
      <c r="D30" s="41" t="s">
        <v>36</v>
      </c>
      <c r="E30" s="91">
        <v>14.1</v>
      </c>
    </row>
    <row r="31" spans="1:5" ht="12.75">
      <c r="A31" s="90">
        <v>2</v>
      </c>
      <c r="B31" s="32">
        <v>2</v>
      </c>
      <c r="C31" s="11" t="s">
        <v>70</v>
      </c>
      <c r="D31" s="11" t="s">
        <v>71</v>
      </c>
      <c r="E31" s="91">
        <v>15.9</v>
      </c>
    </row>
    <row r="32" spans="1:5" ht="12.75">
      <c r="A32" s="90">
        <v>3</v>
      </c>
      <c r="B32" s="32">
        <v>3</v>
      </c>
      <c r="C32" s="11" t="s">
        <v>68</v>
      </c>
      <c r="D32" s="11" t="s">
        <v>47</v>
      </c>
      <c r="E32" s="91">
        <v>16.6</v>
      </c>
    </row>
    <row r="33" spans="1:5" ht="12.75">
      <c r="A33" s="90">
        <v>5</v>
      </c>
      <c r="B33" s="32">
        <v>4</v>
      </c>
      <c r="C33" s="11" t="s">
        <v>73</v>
      </c>
      <c r="D33" s="11" t="s">
        <v>47</v>
      </c>
      <c r="E33" s="91">
        <v>18.8</v>
      </c>
    </row>
  </sheetData>
  <printOptions horizontalCentered="1"/>
  <pageMargins left="0.36" right="0.43" top="0.28" bottom="0.3937007874015748" header="0.2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Olav Viste</dc:creator>
  <cp:keywords/>
  <dc:description/>
  <cp:lastModifiedBy>Jon Olav Viste</cp:lastModifiedBy>
  <dcterms:created xsi:type="dcterms:W3CDTF">2005-05-20T12:21:34Z</dcterms:created>
  <dcterms:modified xsi:type="dcterms:W3CDTF">2005-05-21T12:36:42Z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615998289</vt:i4>
  </property>
  <property fmtid="{D5CDD505-2E9C-101B-9397-08002B2CF9AE}" pid="3" name="_EmailSubject">
    <vt:lpwstr>KM_2005_res.xls</vt:lpwstr>
  </property>
  <property fmtid="{D5CDD505-2E9C-101B-9397-08002B2CF9AE}" pid="4" name="_AuthorEmail">
    <vt:lpwstr>jon.o.viste@nibr.no</vt:lpwstr>
  </property>
  <property fmtid="{D5CDD505-2E9C-101B-9397-08002B2CF9AE}" pid="5" name="_AuthorEmailDisplayName">
    <vt:lpwstr>Jon Olav Viste</vt:lpwstr>
  </property>
  <property fmtid="{D5CDD505-2E9C-101B-9397-08002B2CF9AE}" pid="6" name="_ReviewingToolsShownOnce">
    <vt:lpwstr/>
  </property>
</Properties>
</file>