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2"/>
  </bookViews>
  <sheets>
    <sheet name="KM_07_G10_12" sheetId="1" r:id="rId1"/>
    <sheet name="KM_07_J10_12" sheetId="2" r:id="rId2"/>
    <sheet name="KM_07_13_14" sheetId="3" r:id="rId3"/>
    <sheet name="Heat 60m" sheetId="4" r:id="rId4"/>
    <sheet name="Lengde" sheetId="5" r:id="rId5"/>
  </sheets>
  <definedNames>
    <definedName name="G_60_10">9.25</definedName>
    <definedName name="G_60_11">8.75</definedName>
    <definedName name="G_60_12">8.3</definedName>
    <definedName name="G_60_13">7.95</definedName>
    <definedName name="G_60_14">7.7</definedName>
    <definedName name="G_60_M">31</definedName>
    <definedName name="G_600_10">113</definedName>
    <definedName name="G_600_11">106</definedName>
    <definedName name="G_600_12">100</definedName>
    <definedName name="G_600_13">95</definedName>
    <definedName name="G_600_14">91</definedName>
    <definedName name="G_600_M">2.7</definedName>
    <definedName name="G_800_11">148</definedName>
    <definedName name="G_800_12">140.5</definedName>
    <definedName name="G_800_13">132.5</definedName>
    <definedName name="G_800_14">127</definedName>
    <definedName name="G_800_M">1.8</definedName>
    <definedName name="G_80K_13">840</definedName>
    <definedName name="G_80K_14">838</definedName>
    <definedName name="G_80P_10">850</definedName>
    <definedName name="G_80P_11">820</definedName>
    <definedName name="G_80P_12">811</definedName>
    <definedName name="G_B1_10">50</definedName>
    <definedName name="G_B1_11">60</definedName>
    <definedName name="G_B1_12">63</definedName>
    <definedName name="G_B2_10">40</definedName>
    <definedName name="G_B2_11">48</definedName>
    <definedName name="G_B2_12">50.4</definedName>
    <definedName name="G_H_13">1.61</definedName>
    <definedName name="G_H_14">1.72</definedName>
    <definedName name="G_H_M">7</definedName>
    <definedName name="G_HK_13">9.8</definedName>
    <definedName name="G_HK_14">12.2</definedName>
    <definedName name="G_HK_M">24</definedName>
    <definedName name="G_HK_M13">24</definedName>
    <definedName name="G_HK_M14">18</definedName>
    <definedName name="G_K1_13">13.3</definedName>
    <definedName name="G_K1_14">13.5</definedName>
    <definedName name="G_K2_13">10.64</definedName>
    <definedName name="G_K2_14">10.8</definedName>
    <definedName name="G_Kned">1.2</definedName>
    <definedName name="G_Kopp">0.6</definedName>
    <definedName name="G_Kpluss">0.3</definedName>
    <definedName name="G_L_10">4.1</definedName>
    <definedName name="G_L_11">4.55</definedName>
    <definedName name="G_L_12">4.95</definedName>
    <definedName name="G_L_13">5.35</definedName>
    <definedName name="G_L_14">5.75</definedName>
    <definedName name="G_L_M">2.1</definedName>
    <definedName name="G_ned">0.3</definedName>
    <definedName name="G_opp">0.15</definedName>
    <definedName name="G_pluss">0.08</definedName>
    <definedName name="J_60_10">9.25</definedName>
    <definedName name="J_60_11">8.8</definedName>
    <definedName name="J_60_12">8.55</definedName>
    <definedName name="J_60_13">8.4</definedName>
    <definedName name="J_60_14">8.25</definedName>
    <definedName name="J_60_M">27</definedName>
    <definedName name="J_600_10">118</definedName>
    <definedName name="J_600_11">111</definedName>
    <definedName name="J_600_12">106</definedName>
    <definedName name="J_600_13">103.4</definedName>
    <definedName name="J_600_14">101.6</definedName>
    <definedName name="J_600_M">2.4</definedName>
    <definedName name="J_800_11">155</definedName>
    <definedName name="J_800_12">148</definedName>
    <definedName name="J_800_13">143</definedName>
    <definedName name="J_800_14">140</definedName>
    <definedName name="J_800_M">1.5</definedName>
    <definedName name="J_80K_13">846</definedName>
    <definedName name="J_80K_14">846</definedName>
    <definedName name="J_80P_10">848</definedName>
    <definedName name="J_80P_11">824</definedName>
    <definedName name="J_80P_12">812</definedName>
    <definedName name="J_B1_10">38</definedName>
    <definedName name="J_B1_11">44</definedName>
    <definedName name="J_B1_12">49</definedName>
    <definedName name="J_B2_10">30.4</definedName>
    <definedName name="J_B2_11">35.2</definedName>
    <definedName name="J_B2_12">39.2</definedName>
    <definedName name="J_H_13">1.5</definedName>
    <definedName name="J_H_14">1.56</definedName>
    <definedName name="J_H_M">8</definedName>
    <definedName name="J_HK_13">10.1</definedName>
    <definedName name="J_HK_14">9.8</definedName>
    <definedName name="J_HK_M">20</definedName>
    <definedName name="j_K1_13">11</definedName>
    <definedName name="j_K1_14">11</definedName>
    <definedName name="j_K2_13">8.8</definedName>
    <definedName name="j_K2_14">8.8</definedName>
    <definedName name="J_Kned">1.4</definedName>
    <definedName name="j_Kopp">0.7</definedName>
    <definedName name="J_Kpluss">0.35</definedName>
    <definedName name="J_L_10">4</definedName>
    <definedName name="J_L_11">4.4</definedName>
    <definedName name="J_L_12">4.7</definedName>
    <definedName name="J_L_13">5</definedName>
    <definedName name="J_L_14">5.2</definedName>
    <definedName name="J_L_M">2.4</definedName>
    <definedName name="J_ned">0.4</definedName>
    <definedName name="J_opp">0.2</definedName>
    <definedName name="J_pluss">0.1</definedName>
    <definedName name="_xlnm.Print_Area" localSheetId="3">'Heat 60m'!$A$1:$D$26</definedName>
    <definedName name="_xlnm.Print_Area" localSheetId="2">'KM_07_13_14'!$A$34:$R$82</definedName>
    <definedName name="_xlnm.Print_Area" localSheetId="0">'KM_07_G10_12'!$A$19:$N$64</definedName>
    <definedName name="_xlnm.Print_Area" localSheetId="1">'KM_07_J10_12'!$A$19:$N$50</definedName>
    <definedName name="_xlnm.Print_Area" localSheetId="4">'Lengde'!$A$1:$D$22</definedName>
    <definedName name="_xlnm.Print_Titles" localSheetId="3">'Heat 60m'!$1:$3</definedName>
    <definedName name="_xlnm.Print_Titles" localSheetId="0">'KM_07_G10_12'!$19:$21</definedName>
    <definedName name="_xlnm.Print_Titles" localSheetId="1">'KM_07_J10_12'!$19:$21</definedName>
    <definedName name="_xlnm.Print_Titles" localSheetId="4">'Lengde'!$1:$2</definedName>
  </definedNames>
  <calcPr fullCalcOnLoad="1"/>
</workbook>
</file>

<file path=xl/sharedStrings.xml><?xml version="1.0" encoding="utf-8"?>
<sst xmlns="http://schemas.openxmlformats.org/spreadsheetml/2006/main" count="583" uniqueCount="195">
  <si>
    <t>Arr.: Bækkelagets sportsklub</t>
  </si>
  <si>
    <t>IL i BUL</t>
  </si>
  <si>
    <t>1000p</t>
  </si>
  <si>
    <t>Mult</t>
  </si>
  <si>
    <t>poeng</t>
  </si>
  <si>
    <t>bedre</t>
  </si>
  <si>
    <t>svakere</t>
  </si>
  <si>
    <t>over 1000</t>
  </si>
  <si>
    <t xml:space="preserve">Jenter  11 </t>
  </si>
  <si>
    <t xml:space="preserve"> 60m</t>
  </si>
  <si>
    <t>Lengde</t>
  </si>
  <si>
    <t>Liten ball 80g</t>
  </si>
  <si>
    <t>600m</t>
  </si>
  <si>
    <t>800m</t>
  </si>
  <si>
    <t xml:space="preserve">Jenter  12 </t>
  </si>
  <si>
    <t xml:space="preserve">Gutter  11 </t>
  </si>
  <si>
    <t xml:space="preserve">Gutter  12 </t>
  </si>
  <si>
    <t xml:space="preserve"> </t>
  </si>
  <si>
    <t>60m</t>
  </si>
  <si>
    <t>Liten ball (80g)</t>
  </si>
  <si>
    <t>3 øvelser</t>
  </si>
  <si>
    <t>Nr.</t>
  </si>
  <si>
    <t>Navn</t>
  </si>
  <si>
    <t>Klubb</t>
  </si>
  <si>
    <t xml:space="preserve">NB ! De manuelle tider på 60m er tillagt 0,2 sek iht bestemmelsene i Tyrvingtabellen. </t>
  </si>
  <si>
    <t>Jenter hopper lengde umiddelbart etter  60 m. 3 hopp</t>
  </si>
  <si>
    <t>Gutter kaster liten ball umiddelbart etter  60 m. 3 kast</t>
  </si>
  <si>
    <t>800 m er siste øvelse for alle og starter med den klasse</t>
  </si>
  <si>
    <t>som er tidligst ferdig med sine 3 første øvelser</t>
  </si>
  <si>
    <t>1000+</t>
  </si>
  <si>
    <t xml:space="preserve">Jenter  13 </t>
  </si>
  <si>
    <t>Kule 3 kg</t>
  </si>
  <si>
    <t>Høyde</t>
  </si>
  <si>
    <t xml:space="preserve">Jenter  14 </t>
  </si>
  <si>
    <t xml:space="preserve">Gutter  13 </t>
  </si>
  <si>
    <t xml:space="preserve">Gutter  14 </t>
  </si>
  <si>
    <t>Kule (3kg)</t>
  </si>
  <si>
    <t>4-kamp</t>
  </si>
  <si>
    <t>For resultater 60 m (manuelle tider), se eget ark</t>
  </si>
  <si>
    <t>6 kamp</t>
  </si>
  <si>
    <t>Kule (2kg)</t>
  </si>
  <si>
    <t>Kule (4kg)</t>
  </si>
  <si>
    <t>60HK (68.0)</t>
  </si>
  <si>
    <t>60HK (76,2)</t>
  </si>
  <si>
    <t>Tyrving tabellen (2004)</t>
  </si>
  <si>
    <t>Kule 2 kg</t>
  </si>
  <si>
    <t>Kule 4 kg</t>
  </si>
  <si>
    <t>80HK (84.0)</t>
  </si>
  <si>
    <t>80m Hk (84,0/8)</t>
  </si>
  <si>
    <t>60m Hk (76,2/7,5)</t>
  </si>
  <si>
    <t>Tyrving tabellen (2004-utgave)</t>
  </si>
  <si>
    <t>For resultater 60 m og 60m hekk/80m hekk (manuelle tider), se eget ark</t>
  </si>
  <si>
    <t>Nittedal IL</t>
  </si>
  <si>
    <t>Petter Narvhus</t>
  </si>
  <si>
    <t>Simon Sandbakken</t>
  </si>
  <si>
    <t>Åse Meinich Lømo</t>
  </si>
  <si>
    <t>Camilla Olsen</t>
  </si>
  <si>
    <t>Strømmen IF</t>
  </si>
  <si>
    <t xml:space="preserve">Jenter  10 </t>
  </si>
  <si>
    <t xml:space="preserve">NB ! De manuelle tider på 60m og 60m hekk / 80m hekk er tillagt 0,2 sek iht bestemmelsene i Tyrvingtabellen. </t>
  </si>
  <si>
    <t xml:space="preserve">Gutter  10 </t>
  </si>
  <si>
    <t>Dina Storvik</t>
  </si>
  <si>
    <t>Sivert Eikrem</t>
  </si>
  <si>
    <t>Johannes Bergh</t>
  </si>
  <si>
    <t>Sven Baddaky Taugbøl</t>
  </si>
  <si>
    <t>Koll Friidrett</t>
  </si>
  <si>
    <t>Henrik Solbakke</t>
  </si>
  <si>
    <t>Jenter f 1995 (13 år)</t>
  </si>
  <si>
    <t>Jenter f 1994 (14 år)</t>
  </si>
  <si>
    <t>Gutter f 1995 (13 år)</t>
  </si>
  <si>
    <t>Gutter f 1994 (14 år)</t>
  </si>
  <si>
    <t>Jenter f 1998 (10 år)</t>
  </si>
  <si>
    <t>Jenter f 1997 (11 år)</t>
  </si>
  <si>
    <t>Jenter f 1996 (12 år)</t>
  </si>
  <si>
    <t>Gutter f 1998 (10 år)</t>
  </si>
  <si>
    <t>Gutter f 1997 (11 år)</t>
  </si>
  <si>
    <t>Gutter f 1996 (12 år)</t>
  </si>
  <si>
    <t>Eivind Knapper</t>
  </si>
  <si>
    <t>Vebjørn Bredesen</t>
  </si>
  <si>
    <t>Snøgg Friidrett</t>
  </si>
  <si>
    <t>Lambertseter Friidrett</t>
  </si>
  <si>
    <t>Rebekka Engen</t>
  </si>
  <si>
    <t>Oppegård IL</t>
  </si>
  <si>
    <t>David Bleich</t>
  </si>
  <si>
    <t>Fredrik Tveter</t>
  </si>
  <si>
    <t>Håkon S Schjetne</t>
  </si>
  <si>
    <t>Audun Bakke Jensen</t>
  </si>
  <si>
    <t>Eilif Akerjordet</t>
  </si>
  <si>
    <t>Odin Hallquist</t>
  </si>
  <si>
    <t>Stian Gundersen</t>
  </si>
  <si>
    <t>Kristine Dueled</t>
  </si>
  <si>
    <t>Stina Akre-Johansson</t>
  </si>
  <si>
    <t>Helge André Blystad</t>
  </si>
  <si>
    <t>Johanne Skarbø Pedersen</t>
  </si>
  <si>
    <t>Tiril Fjell</t>
  </si>
  <si>
    <t>Andreas F T Gjesdahl</t>
  </si>
  <si>
    <t>Marcus Solbakke</t>
  </si>
  <si>
    <t>Eivind Wikshåland</t>
  </si>
  <si>
    <t>Bækkelagets Sp.kl.</t>
  </si>
  <si>
    <t>Marie Storvik Olsen</t>
  </si>
  <si>
    <t>Hanna Seljegard Gåsemyr</t>
  </si>
  <si>
    <t>Vevelstad skole</t>
  </si>
  <si>
    <t>Oda Myrvold Thorud</t>
  </si>
  <si>
    <t>Therese Tærud</t>
  </si>
  <si>
    <t>KM Mangekamp Gutter 10 - 12 år, Bislett 27.8.2008</t>
  </si>
  <si>
    <t>KM Mangekamp Jenter 10 - 12 år, Bislett 28.8.2008</t>
  </si>
  <si>
    <t>KM Mangekamp G/J 13 - 14 år, Bislett 27.-28.8.2008</t>
  </si>
  <si>
    <t>Frida Stav-Hjelde</t>
  </si>
  <si>
    <t>Ingeborg S Rønningen</t>
  </si>
  <si>
    <t>Ski IL</t>
  </si>
  <si>
    <t>Isak Wicken</t>
  </si>
  <si>
    <t>Thea von Hirsch Rørvik</t>
  </si>
  <si>
    <t>Hannah H Rimmereid</t>
  </si>
  <si>
    <t>Tora Spangen Normann</t>
  </si>
  <si>
    <t>Julie Farseth Berg</t>
  </si>
  <si>
    <t>Il i BUL</t>
  </si>
  <si>
    <t>Nzimirro Adam Obiro</t>
  </si>
  <si>
    <t>Morten Grønbech</t>
  </si>
  <si>
    <t>Tina Emami</t>
  </si>
  <si>
    <t>Yasmin Najafian</t>
  </si>
  <si>
    <t>Dinesh Anantharaja</t>
  </si>
  <si>
    <t>Peder Tangen</t>
  </si>
  <si>
    <t>DNS</t>
  </si>
  <si>
    <t>DNF</t>
  </si>
  <si>
    <t>2,07,3</t>
  </si>
  <si>
    <t>2,07,7</t>
  </si>
  <si>
    <t>2,25,1</t>
  </si>
  <si>
    <t>2,28,0</t>
  </si>
  <si>
    <t>1,53,1</t>
  </si>
  <si>
    <t>1,57,8</t>
  </si>
  <si>
    <t>1,58,8</t>
  </si>
  <si>
    <t>1,59,9</t>
  </si>
  <si>
    <t>2,09,8</t>
  </si>
  <si>
    <t>2,16,9</t>
  </si>
  <si>
    <t>1,57,9</t>
  </si>
  <si>
    <t>2,06,8</t>
  </si>
  <si>
    <t>2,07,9</t>
  </si>
  <si>
    <t>2,15,0</t>
  </si>
  <si>
    <t>2,03,5</t>
  </si>
  <si>
    <t>2,12,7</t>
  </si>
  <si>
    <t>Resultater 60m</t>
  </si>
  <si>
    <t>vind: +2,4</t>
  </si>
  <si>
    <t>1.heat</t>
  </si>
  <si>
    <t>vind: +2,1</t>
  </si>
  <si>
    <t>vind: +1,0</t>
  </si>
  <si>
    <t>2.heat</t>
  </si>
  <si>
    <t>vind: +0,5</t>
  </si>
  <si>
    <t>Jenter f 1995 (13 og 14 år)</t>
  </si>
  <si>
    <t>vind: +1,1</t>
  </si>
  <si>
    <t>Ingeborg S Rønningen (f 1994)</t>
  </si>
  <si>
    <t>Tora Spangen Normann (f 1994)</t>
  </si>
  <si>
    <t>Julie Farseth Berg (f 1994)</t>
  </si>
  <si>
    <t>Tiril Fjell (f 1995)</t>
  </si>
  <si>
    <t>Åse Meinich Lømo (f 1995)</t>
  </si>
  <si>
    <t>Camilla Olsen (f 1995)</t>
  </si>
  <si>
    <t>vind: +0,6</t>
  </si>
  <si>
    <t>vind: +2,2</t>
  </si>
  <si>
    <t>vind</t>
  </si>
  <si>
    <t>"+0,0</t>
  </si>
  <si>
    <t>godkjent 2,60 med vind: 0,0</t>
  </si>
  <si>
    <t>Tea Clark Lødemel</t>
  </si>
  <si>
    <t>Mari Gaupset</t>
  </si>
  <si>
    <t>60m Hk (68,0/7,5)</t>
  </si>
  <si>
    <t>Mathea Kjærnes</t>
  </si>
  <si>
    <t>2,10,4</t>
  </si>
  <si>
    <t>2,54,0</t>
  </si>
  <si>
    <t>3,03,0</t>
  </si>
  <si>
    <t>2,03,1</t>
  </si>
  <si>
    <t>2,03,6</t>
  </si>
  <si>
    <t>2,05,9</t>
  </si>
  <si>
    <t>2,11,2</t>
  </si>
  <si>
    <t>2,22,5</t>
  </si>
  <si>
    <t>2,23,2</t>
  </si>
  <si>
    <t>1,58,9</t>
  </si>
  <si>
    <t>1,59,2</t>
  </si>
  <si>
    <t>2,00,6</t>
  </si>
  <si>
    <t>2,01,2</t>
  </si>
  <si>
    <t>2,13,1</t>
  </si>
  <si>
    <t>2,13,7</t>
  </si>
  <si>
    <t>1,49,2</t>
  </si>
  <si>
    <t>1,50,2</t>
  </si>
  <si>
    <t>1,51,2</t>
  </si>
  <si>
    <t>2,00,7</t>
  </si>
  <si>
    <t>1,46,1</t>
  </si>
  <si>
    <t>1,47,3</t>
  </si>
  <si>
    <t>1,49,7</t>
  </si>
  <si>
    <t>1,51,8</t>
  </si>
  <si>
    <t>1,46,8</t>
  </si>
  <si>
    <t>1,50,7</t>
  </si>
  <si>
    <t>vind: -0,6</t>
  </si>
  <si>
    <t>vind: -0,5</t>
  </si>
  <si>
    <t>vind: - 0,7</t>
  </si>
  <si>
    <t>vind: - 1,7</t>
  </si>
  <si>
    <t>Resultater Lengde</t>
  </si>
  <si>
    <t>Klubb/vind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</si>
</sst>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#,##0;\-&quot;kr&quot;#,##0"/>
    <numFmt numFmtId="173" formatCode="&quot;kr&quot;#,##0;[Red]\-&quot;kr&quot;#,##0"/>
    <numFmt numFmtId="174" formatCode="&quot;kr&quot;#,##0.00;\-&quot;kr&quot;#,##0.00"/>
    <numFmt numFmtId="175" formatCode="&quot;kr&quot;#,##0.00;[Red]\-&quot;kr&quot;#,##0.00"/>
    <numFmt numFmtId="176" formatCode="0%"/>
    <numFmt numFmtId="177" formatCode="0.00%"/>
    <numFmt numFmtId="178" formatCode="#\ ?/?"/>
    <numFmt numFmtId="179" formatCode="#\ ??/??"/>
    <numFmt numFmtId="180" formatCode="d\.m\.yy"/>
    <numFmt numFmtId="181" formatCode="d\.mmm\.yy"/>
    <numFmt numFmtId="182" formatCode="d\.mmm"/>
    <numFmt numFmtId="183" formatCode="mmm\.yy"/>
    <numFmt numFmtId="184" formatCode="h:mm"/>
    <numFmt numFmtId="185" formatCode="h:mm:ss"/>
    <numFmt numFmtId="186" formatCode="d\.m\.yy\ h:mm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0.0"/>
    <numFmt numFmtId="194" formatCode="&quot;Ja&quot;;&quot;Ja&quot;;&quot;Nei&quot;"/>
    <numFmt numFmtId="195" formatCode="&quot;Sann&quot;;&quot;Sann&quot;;&quot;Usann&quot;"/>
    <numFmt numFmtId="196" formatCode="&quot;På&quot;;&quot;På&quot;;&quot;Av&quot;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2"/>
      <color indexed="10"/>
      <name val="Helv"/>
      <family val="0"/>
    </font>
    <font>
      <sz val="11"/>
      <name val="Helv"/>
      <family val="0"/>
    </font>
    <font>
      <b/>
      <sz val="16"/>
      <name val="Helv"/>
      <family val="0"/>
    </font>
    <font>
      <b/>
      <sz val="11"/>
      <color indexed="12"/>
      <name val="Helv"/>
      <family val="0"/>
    </font>
    <font>
      <b/>
      <sz val="11"/>
      <color indexed="10"/>
      <name val="Helv"/>
      <family val="0"/>
    </font>
    <font>
      <b/>
      <sz val="14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17" applyFont="1" applyAlignment="1">
      <alignment/>
      <protection/>
    </xf>
    <xf numFmtId="0" fontId="6" fillId="0" borderId="0" xfId="17" applyFont="1">
      <alignment/>
      <protection/>
    </xf>
    <xf numFmtId="193" fontId="4" fillId="0" borderId="0" xfId="17" applyNumberFormat="1" applyFont="1" applyProtection="1">
      <alignment/>
      <protection locked="0"/>
    </xf>
    <xf numFmtId="0" fontId="5" fillId="0" borderId="0" xfId="17" applyFont="1">
      <alignment/>
      <protection/>
    </xf>
    <xf numFmtId="2" fontId="5" fillId="0" borderId="0" xfId="17" applyNumberFormat="1" applyFont="1" applyAlignment="1">
      <alignment/>
      <protection/>
    </xf>
    <xf numFmtId="176" fontId="5" fillId="0" borderId="0" xfId="17" applyNumberFormat="1" applyFont="1" applyAlignment="1">
      <alignment/>
      <protection/>
    </xf>
    <xf numFmtId="176" fontId="5" fillId="0" borderId="0" xfId="17" applyNumberFormat="1" applyFont="1" applyAlignment="1">
      <alignment horizontal="right"/>
      <protection/>
    </xf>
    <xf numFmtId="2" fontId="5" fillId="0" borderId="0" xfId="17" applyNumberFormat="1" applyFont="1" applyAlignment="1">
      <alignment horizontal="right"/>
      <protection/>
    </xf>
    <xf numFmtId="0" fontId="5" fillId="0" borderId="0" xfId="17" applyFont="1" applyAlignment="1">
      <alignment horizontal="right"/>
      <protection/>
    </xf>
    <xf numFmtId="193" fontId="5" fillId="0" borderId="0" xfId="17" applyNumberFormat="1" applyFont="1">
      <alignment/>
      <protection/>
    </xf>
    <xf numFmtId="0" fontId="7" fillId="0" borderId="0" xfId="17" applyFont="1">
      <alignment/>
      <protection/>
    </xf>
    <xf numFmtId="0" fontId="8" fillId="0" borderId="0" xfId="17" applyFont="1">
      <alignment/>
      <protection/>
    </xf>
    <xf numFmtId="0" fontId="4" fillId="0" borderId="0" xfId="17" applyAlignment="1">
      <alignment/>
      <protection/>
    </xf>
    <xf numFmtId="0" fontId="4" fillId="0" borderId="0" xfId="17">
      <alignment/>
      <protection/>
    </xf>
    <xf numFmtId="2" fontId="4" fillId="0" borderId="0" xfId="17" applyNumberFormat="1" applyAlignment="1">
      <alignment/>
      <protection/>
    </xf>
    <xf numFmtId="2" fontId="4" fillId="0" borderId="0" xfId="17" applyNumberFormat="1">
      <alignment/>
      <protection/>
    </xf>
    <xf numFmtId="0" fontId="4" fillId="0" borderId="0" xfId="17" applyFont="1" applyAlignment="1">
      <alignment horizontal="right"/>
      <protection/>
    </xf>
    <xf numFmtId="193" fontId="4" fillId="0" borderId="0" xfId="17" applyNumberFormat="1">
      <alignment/>
      <protection/>
    </xf>
    <xf numFmtId="2" fontId="4" fillId="0" borderId="0" xfId="17" applyNumberFormat="1" applyFont="1" applyAlignment="1">
      <alignment/>
      <protection/>
    </xf>
    <xf numFmtId="0" fontId="4" fillId="0" borderId="0" xfId="17" applyFont="1" applyAlignment="1">
      <alignment/>
      <protection/>
    </xf>
    <xf numFmtId="2" fontId="4" fillId="0" borderId="0" xfId="17" applyNumberFormat="1" applyFont="1">
      <alignment/>
      <protection/>
    </xf>
    <xf numFmtId="0" fontId="9" fillId="0" borderId="0" xfId="17" applyFont="1">
      <alignment/>
      <protection/>
    </xf>
    <xf numFmtId="1" fontId="4" fillId="0" borderId="0" xfId="17" applyNumberFormat="1" applyFont="1">
      <alignment/>
      <protection/>
    </xf>
    <xf numFmtId="2" fontId="4" fillId="0" borderId="0" xfId="17" applyNumberFormat="1" applyFont="1" applyAlignment="1">
      <alignment horizontal="right"/>
      <protection/>
    </xf>
    <xf numFmtId="0" fontId="10" fillId="0" borderId="0" xfId="17" applyFont="1" applyAlignment="1">
      <alignment/>
      <protection/>
    </xf>
    <xf numFmtId="0" fontId="11" fillId="0" borderId="0" xfId="17" applyFont="1">
      <alignment/>
      <protection/>
    </xf>
    <xf numFmtId="0" fontId="12" fillId="0" borderId="0" xfId="17" applyFont="1">
      <alignment/>
      <protection/>
    </xf>
    <xf numFmtId="0" fontId="13" fillId="0" borderId="0" xfId="17" applyFont="1" applyAlignment="1">
      <alignment horizontal="left"/>
      <protection/>
    </xf>
    <xf numFmtId="2" fontId="4" fillId="0" borderId="0" xfId="17" applyNumberFormat="1" applyAlignment="1">
      <alignment horizontal="centerContinuous"/>
      <protection/>
    </xf>
    <xf numFmtId="0" fontId="5" fillId="0" borderId="0" xfId="17" applyFont="1" applyAlignment="1">
      <alignment horizontal="centerContinuous"/>
      <protection/>
    </xf>
    <xf numFmtId="0" fontId="11" fillId="0" borderId="0" xfId="17" applyFont="1" applyAlignment="1">
      <alignment horizontal="right"/>
      <protection/>
    </xf>
    <xf numFmtId="0" fontId="4" fillId="0" borderId="0" xfId="17" applyFont="1" applyAlignment="1">
      <alignment horizontal="centerContinuous"/>
      <protection/>
    </xf>
    <xf numFmtId="193" fontId="4" fillId="0" borderId="0" xfId="17" applyNumberFormat="1" applyAlignment="1">
      <alignment horizontal="centerContinuous"/>
      <protection/>
    </xf>
    <xf numFmtId="0" fontId="5" fillId="0" borderId="0" xfId="17" applyFont="1" applyAlignment="1" applyProtection="1">
      <alignment horizontal="centerContinuous"/>
      <protection/>
    </xf>
    <xf numFmtId="0" fontId="12" fillId="0" borderId="0" xfId="17" applyFont="1" applyAlignment="1">
      <alignment horizontal="right"/>
      <protection/>
    </xf>
    <xf numFmtId="2" fontId="5" fillId="0" borderId="0" xfId="17" applyNumberFormat="1" applyFont="1">
      <alignment/>
      <protection/>
    </xf>
    <xf numFmtId="0" fontId="5" fillId="0" borderId="0" xfId="17" applyFont="1" applyProtection="1">
      <alignment/>
      <protection/>
    </xf>
    <xf numFmtId="0" fontId="5" fillId="0" borderId="0" xfId="17" applyFont="1" applyAlignment="1" applyProtection="1">
      <alignment/>
      <protection/>
    </xf>
    <xf numFmtId="2" fontId="5" fillId="0" borderId="0" xfId="17" applyNumberFormat="1" applyFont="1" applyAlignment="1" applyProtection="1">
      <alignment/>
      <protection/>
    </xf>
    <xf numFmtId="2" fontId="5" fillId="0" borderId="0" xfId="17" applyNumberFormat="1" applyFont="1" applyProtection="1">
      <alignment/>
      <protection/>
    </xf>
    <xf numFmtId="0" fontId="11" fillId="0" borderId="0" xfId="17" applyFont="1" applyProtection="1">
      <alignment/>
      <protection/>
    </xf>
    <xf numFmtId="0" fontId="5" fillId="0" borderId="0" xfId="17" applyFont="1" applyAlignment="1" applyProtection="1">
      <alignment horizontal="right"/>
      <protection/>
    </xf>
    <xf numFmtId="193" fontId="5" fillId="0" borderId="0" xfId="17" applyNumberFormat="1" applyFont="1" applyProtection="1">
      <alignment/>
      <protection/>
    </xf>
    <xf numFmtId="1" fontId="12" fillId="0" borderId="0" xfId="17" applyNumberFormat="1" applyFont="1" applyProtection="1">
      <alignment/>
      <protection/>
    </xf>
    <xf numFmtId="0" fontId="4" fillId="0" borderId="0" xfId="17" applyFont="1" applyAlignment="1" applyProtection="1">
      <alignment/>
      <protection locked="0"/>
    </xf>
    <xf numFmtId="0" fontId="4" fillId="0" borderId="0" xfId="17" applyFont="1" applyProtection="1">
      <alignment/>
      <protection locked="0"/>
    </xf>
    <xf numFmtId="0" fontId="4" fillId="0" borderId="0" xfId="17" applyProtection="1">
      <alignment/>
      <protection locked="0"/>
    </xf>
    <xf numFmtId="1" fontId="5" fillId="0" borderId="0" xfId="17" applyNumberFormat="1" applyFont="1" applyAlignment="1">
      <alignment/>
      <protection/>
    </xf>
    <xf numFmtId="2" fontId="4" fillId="0" borderId="0" xfId="17" applyNumberFormat="1" applyFont="1" applyAlignment="1" applyProtection="1">
      <alignment/>
      <protection locked="0"/>
    </xf>
    <xf numFmtId="2" fontId="4" fillId="0" borderId="0" xfId="17" applyNumberFormat="1" applyFont="1" applyProtection="1">
      <alignment/>
      <protection locked="0"/>
    </xf>
    <xf numFmtId="1" fontId="11" fillId="0" borderId="0" xfId="17" applyNumberFormat="1" applyFont="1">
      <alignment/>
      <protection/>
    </xf>
    <xf numFmtId="0" fontId="4" fillId="0" borderId="0" xfId="17" applyFont="1" applyAlignment="1" applyProtection="1">
      <alignment horizontal="right"/>
      <protection locked="0"/>
    </xf>
    <xf numFmtId="1" fontId="5" fillId="0" borderId="0" xfId="17" applyNumberFormat="1" applyFont="1" applyProtection="1">
      <alignment/>
      <protection/>
    </xf>
    <xf numFmtId="1" fontId="12" fillId="0" borderId="0" xfId="17" applyNumberFormat="1" applyFont="1">
      <alignment/>
      <protection/>
    </xf>
    <xf numFmtId="0" fontId="4" fillId="0" borderId="0" xfId="17" applyNumberFormat="1" applyFont="1" applyAlignment="1" applyProtection="1">
      <alignment horizontal="right"/>
      <protection locked="0"/>
    </xf>
    <xf numFmtId="0" fontId="4" fillId="0" borderId="0" xfId="17" applyFont="1">
      <alignment/>
      <protection/>
    </xf>
    <xf numFmtId="0" fontId="5" fillId="0" borderId="0" xfId="17" applyFont="1" applyAlignment="1" applyProtection="1">
      <alignment/>
      <protection locked="0"/>
    </xf>
    <xf numFmtId="0" fontId="5" fillId="0" borderId="0" xfId="17" applyFont="1" applyProtection="1">
      <alignment/>
      <protection locked="0"/>
    </xf>
    <xf numFmtId="1" fontId="5" fillId="0" borderId="0" xfId="17" applyNumberFormat="1" applyFont="1" applyAlignment="1" applyProtection="1">
      <alignment/>
      <protection/>
    </xf>
    <xf numFmtId="2" fontId="5" fillId="0" borderId="0" xfId="17" applyNumberFormat="1" applyFont="1" applyAlignment="1" applyProtection="1">
      <alignment/>
      <protection locked="0"/>
    </xf>
    <xf numFmtId="1" fontId="11" fillId="0" borderId="0" xfId="17" applyNumberFormat="1" applyFont="1" applyProtection="1">
      <alignment/>
      <protection/>
    </xf>
    <xf numFmtId="0" fontId="5" fillId="0" borderId="0" xfId="17" applyFont="1" applyAlignment="1" applyProtection="1">
      <alignment horizontal="right"/>
      <protection locked="0"/>
    </xf>
    <xf numFmtId="193" fontId="5" fillId="0" borderId="0" xfId="17" applyNumberFormat="1" applyFont="1" applyProtection="1">
      <alignment/>
      <protection locked="0"/>
    </xf>
    <xf numFmtId="193" fontId="4" fillId="0" borderId="0" xfId="17" applyNumberFormat="1" applyFont="1" applyAlignment="1" applyProtection="1">
      <alignment/>
      <protection/>
    </xf>
    <xf numFmtId="2" fontId="4" fillId="0" borderId="0" xfId="17" applyNumberFormat="1" applyFont="1" applyAlignment="1" applyProtection="1">
      <alignment/>
      <protection/>
    </xf>
    <xf numFmtId="0" fontId="4" fillId="0" borderId="0" xfId="17" applyAlignment="1">
      <alignment horizontal="left"/>
      <protection/>
    </xf>
    <xf numFmtId="2" fontId="4" fillId="0" borderId="0" xfId="17" applyNumberFormat="1" applyAlignment="1">
      <alignment horizontal="left"/>
      <protection/>
    </xf>
    <xf numFmtId="0" fontId="5" fillId="0" borderId="0" xfId="17" applyFont="1" applyAlignment="1">
      <alignment horizontal="left"/>
      <protection/>
    </xf>
    <xf numFmtId="0" fontId="11" fillId="0" borderId="0" xfId="17" applyFont="1" applyAlignment="1">
      <alignment horizontal="left"/>
      <protection/>
    </xf>
    <xf numFmtId="193" fontId="4" fillId="0" borderId="0" xfId="17" applyNumberFormat="1" applyAlignment="1">
      <alignment horizontal="left"/>
      <protection/>
    </xf>
    <xf numFmtId="0" fontId="12" fillId="0" borderId="0" xfId="17" applyFont="1" applyAlignment="1">
      <alignment horizontal="left"/>
      <protection/>
    </xf>
    <xf numFmtId="2" fontId="4" fillId="0" borderId="0" xfId="17" applyNumberFormat="1" applyFont="1" applyAlignment="1">
      <alignment horizontal="centerContinuous"/>
      <protection/>
    </xf>
    <xf numFmtId="2" fontId="9" fillId="0" borderId="0" xfId="17" applyNumberFormat="1" applyFont="1">
      <alignment/>
      <protection/>
    </xf>
    <xf numFmtId="2" fontId="9" fillId="0" borderId="0" xfId="17" applyNumberFormat="1" applyFont="1" applyProtection="1">
      <alignment/>
      <protection/>
    </xf>
    <xf numFmtId="0" fontId="4" fillId="0" borderId="0" xfId="17" applyFont="1" applyAlignment="1">
      <alignment horizontal="left"/>
      <protection/>
    </xf>
    <xf numFmtId="0" fontId="4" fillId="0" borderId="0" xfId="17" applyFont="1" applyAlignment="1" applyProtection="1">
      <alignment horizontal="center"/>
      <protection locked="0"/>
    </xf>
    <xf numFmtId="0" fontId="4" fillId="0" borderId="0" xfId="17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9" fillId="0" borderId="0" xfId="17" applyFont="1" applyAlignment="1">
      <alignment horizontal="centerContinuous"/>
      <protection/>
    </xf>
    <xf numFmtId="2" fontId="4" fillId="0" borderId="0" xfId="17" applyNumberFormat="1" applyFont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4" fillId="0" borderId="0" xfId="17" applyNumberFormat="1" applyFont="1" applyAlignment="1" applyProtection="1">
      <alignment horizontal="center"/>
      <protection locked="0"/>
    </xf>
    <xf numFmtId="2" fontId="4" fillId="0" borderId="0" xfId="17" applyNumberFormat="1" applyFont="1" applyAlignment="1">
      <alignment horizontal="left"/>
      <protection/>
    </xf>
    <xf numFmtId="0" fontId="5" fillId="0" borderId="0" xfId="17" applyFont="1" applyAlignment="1" applyProtection="1">
      <alignment horizontal="left"/>
      <protection/>
    </xf>
    <xf numFmtId="14" fontId="4" fillId="0" borderId="0" xfId="17" applyNumberFormat="1" applyFont="1" applyAlignment="1" applyProtection="1">
      <alignment horizontal="right"/>
      <protection locked="0"/>
    </xf>
    <xf numFmtId="2" fontId="9" fillId="0" borderId="0" xfId="17" applyNumberFormat="1" applyFont="1" applyAlignment="1">
      <alignment horizontal="right"/>
      <protection/>
    </xf>
    <xf numFmtId="3" fontId="5" fillId="0" borderId="0" xfId="17" applyNumberFormat="1" applyFont="1" applyAlignment="1">
      <alignment horizontal="right"/>
      <protection/>
    </xf>
    <xf numFmtId="3" fontId="7" fillId="0" borderId="0" xfId="17" applyNumberFormat="1" applyFont="1">
      <alignment/>
      <protection/>
    </xf>
    <xf numFmtId="3" fontId="9" fillId="0" borderId="0" xfId="17" applyNumberFormat="1" applyFont="1">
      <alignment/>
      <protection/>
    </xf>
    <xf numFmtId="3" fontId="11" fillId="0" borderId="0" xfId="17" applyNumberFormat="1" applyFont="1">
      <alignment/>
      <protection/>
    </xf>
    <xf numFmtId="3" fontId="11" fillId="0" borderId="0" xfId="17" applyNumberFormat="1" applyFont="1" applyAlignment="1">
      <alignment horizontal="right"/>
      <protection/>
    </xf>
    <xf numFmtId="3" fontId="11" fillId="0" borderId="0" xfId="17" applyNumberFormat="1" applyFont="1" applyProtection="1">
      <alignment/>
      <protection/>
    </xf>
    <xf numFmtId="3" fontId="4" fillId="0" borderId="0" xfId="17" applyNumberFormat="1">
      <alignment/>
      <protection/>
    </xf>
    <xf numFmtId="3" fontId="11" fillId="0" borderId="0" xfId="17" applyNumberFormat="1" applyFont="1" applyAlignment="1">
      <alignment horizontal="left"/>
      <protection/>
    </xf>
    <xf numFmtId="1" fontId="12" fillId="0" borderId="0" xfId="17" applyNumberFormat="1" applyFont="1" applyAlignment="1">
      <alignment horizontal="right"/>
      <protection/>
    </xf>
    <xf numFmtId="2" fontId="4" fillId="0" borderId="0" xfId="17" applyNumberFormat="1" applyAlignment="1">
      <alignment horizontal="right"/>
      <protection/>
    </xf>
    <xf numFmtId="2" fontId="0" fillId="0" borderId="0" xfId="0" applyNumberFormat="1" applyFont="1" applyAlignment="1">
      <alignment horizontal="right"/>
    </xf>
    <xf numFmtId="2" fontId="5" fillId="0" borderId="0" xfId="17" applyNumberFormat="1" applyFont="1" applyAlignment="1" applyProtection="1">
      <alignment horizontal="right"/>
      <protection locked="0"/>
    </xf>
    <xf numFmtId="0" fontId="4" fillId="0" borderId="0" xfId="17" applyAlignment="1">
      <alignment horizontal="right"/>
      <protection/>
    </xf>
    <xf numFmtId="2" fontId="5" fillId="0" borderId="0" xfId="17" applyNumberFormat="1" applyFont="1" applyAlignment="1" applyProtection="1">
      <alignment horizontal="right"/>
      <protection/>
    </xf>
    <xf numFmtId="0" fontId="11" fillId="0" borderId="0" xfId="17" applyFont="1" applyAlignment="1" applyProtection="1">
      <alignment horizontal="right"/>
      <protection/>
    </xf>
    <xf numFmtId="193" fontId="11" fillId="0" borderId="0" xfId="17" applyNumberFormat="1" applyFont="1">
      <alignment/>
      <protection/>
    </xf>
    <xf numFmtId="193" fontId="11" fillId="0" borderId="0" xfId="17" applyNumberFormat="1" applyFont="1" applyProtection="1">
      <alignment/>
      <protection/>
    </xf>
    <xf numFmtId="193" fontId="4" fillId="0" borderId="0" xfId="17" applyNumberFormat="1" applyFont="1" applyAlignment="1">
      <alignment/>
      <protection/>
    </xf>
    <xf numFmtId="193" fontId="4" fillId="0" borderId="0" xfId="17" applyNumberFormat="1" applyFont="1">
      <alignment/>
      <protection/>
    </xf>
    <xf numFmtId="193" fontId="9" fillId="0" borderId="0" xfId="17" applyNumberFormat="1" applyFont="1">
      <alignment/>
      <protection/>
    </xf>
    <xf numFmtId="193" fontId="4" fillId="0" borderId="0" xfId="17" applyNumberFormat="1" applyFont="1" applyAlignment="1">
      <alignment horizontal="right"/>
      <protection/>
    </xf>
    <xf numFmtId="193" fontId="7" fillId="0" borderId="0" xfId="17" applyNumberFormat="1" applyFont="1">
      <alignment/>
      <protection/>
    </xf>
    <xf numFmtId="193" fontId="5" fillId="0" borderId="0" xfId="17" applyNumberFormat="1" applyFont="1" applyAlignment="1">
      <alignment horizontal="right"/>
      <protection/>
    </xf>
  </cellXfs>
  <cellStyles count="9">
    <cellStyle name="Normal" xfId="0"/>
    <cellStyle name="Benyttet hyperkobling" xfId="15"/>
    <cellStyle name="Hyperkobling" xfId="16"/>
    <cellStyle name="Normal_KM_98P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9">
      <selection activeCell="A19" sqref="A19"/>
    </sheetView>
  </sheetViews>
  <sheetFormatPr defaultColWidth="11.421875" defaultRowHeight="12.75" outlineLevelRow="1" outlineLevelCol="1"/>
  <cols>
    <col min="1" max="1" width="6.00390625" style="13" customWidth="1"/>
    <col min="2" max="2" width="24.7109375" style="14" customWidth="1"/>
    <col min="3" max="3" width="19.140625" style="14" customWidth="1"/>
    <col min="4" max="4" width="6.28125" style="15" customWidth="1"/>
    <col min="5" max="5" width="6.28125" style="1" customWidth="1"/>
    <col min="6" max="6" width="6.8515625" style="15" customWidth="1"/>
    <col min="7" max="7" width="6.421875" style="1" customWidth="1"/>
    <col min="8" max="8" width="7.421875" style="16" customWidth="1"/>
    <col min="9" max="9" width="6.57421875" style="4" customWidth="1"/>
    <col min="10" max="10" width="10.57421875" style="26" hidden="1" customWidth="1" outlineLevel="1"/>
    <col min="11" max="11" width="8.421875" style="17" customWidth="1" collapsed="1"/>
    <col min="12" max="12" width="6.57421875" style="18" hidden="1" customWidth="1" outlineLevel="1"/>
    <col min="13" max="13" width="6.8515625" style="4" customWidth="1" collapsed="1"/>
    <col min="14" max="14" width="10.28125" style="27" customWidth="1"/>
    <col min="15" max="16384" width="9.140625" style="14" customWidth="1"/>
  </cols>
  <sheetData>
    <row r="1" spans="1:15" s="4" customFormat="1" ht="15.75" customHeight="1" hidden="1" outlineLevel="1">
      <c r="A1" s="1"/>
      <c r="B1" s="2" t="s">
        <v>50</v>
      </c>
      <c r="C1" s="3"/>
      <c r="D1" s="5"/>
      <c r="E1" s="1" t="s">
        <v>2</v>
      </c>
      <c r="F1" s="1" t="s">
        <v>3</v>
      </c>
      <c r="G1" s="6">
        <v>0.8</v>
      </c>
      <c r="H1" s="7" t="s">
        <v>4</v>
      </c>
      <c r="I1" s="8" t="s">
        <v>5</v>
      </c>
      <c r="J1" s="8" t="s">
        <v>6</v>
      </c>
      <c r="K1" s="8" t="s">
        <v>7</v>
      </c>
      <c r="L1" s="9"/>
      <c r="M1" s="10"/>
      <c r="N1" s="11"/>
      <c r="O1" s="12"/>
    </row>
    <row r="2" spans="2:15" ht="12" customHeight="1" hidden="1" outlineLevel="1">
      <c r="B2" s="4" t="s">
        <v>60</v>
      </c>
      <c r="E2" s="20"/>
      <c r="F2" s="20"/>
      <c r="G2" s="19"/>
      <c r="H2" s="23"/>
      <c r="I2" s="21"/>
      <c r="J2" s="22"/>
      <c r="K2" s="24"/>
      <c r="L2" s="17"/>
      <c r="M2" s="18"/>
      <c r="N2" s="11"/>
      <c r="O2" s="12"/>
    </row>
    <row r="3" spans="2:15" ht="12" customHeight="1" hidden="1" outlineLevel="1">
      <c r="B3" s="14" t="s">
        <v>9</v>
      </c>
      <c r="E3" s="19">
        <f>G_60_10</f>
        <v>9.25</v>
      </c>
      <c r="F3" s="20">
        <f>G_60_M</f>
        <v>31</v>
      </c>
      <c r="G3" s="19"/>
      <c r="H3" s="23"/>
      <c r="I3" s="21"/>
      <c r="J3" s="22"/>
      <c r="K3" s="24"/>
      <c r="L3" s="17"/>
      <c r="M3" s="18"/>
      <c r="N3" s="11"/>
      <c r="O3" s="12"/>
    </row>
    <row r="4" spans="2:15" ht="12" customHeight="1" hidden="1" outlineLevel="1">
      <c r="B4" s="14" t="s">
        <v>10</v>
      </c>
      <c r="E4" s="19">
        <f>G_L_10</f>
        <v>4.1</v>
      </c>
      <c r="F4" s="20">
        <f>G_L_M</f>
        <v>2.1</v>
      </c>
      <c r="G4" s="19"/>
      <c r="H4" s="23"/>
      <c r="I4" s="21"/>
      <c r="J4" s="22"/>
      <c r="K4" s="24"/>
      <c r="L4" s="17"/>
      <c r="M4" s="18"/>
      <c r="N4" s="11"/>
      <c r="O4" s="12"/>
    </row>
    <row r="5" spans="2:15" ht="12" customHeight="1" hidden="1" outlineLevel="1">
      <c r="B5" s="14" t="s">
        <v>11</v>
      </c>
      <c r="E5" s="19">
        <f>G_B1_10</f>
        <v>50</v>
      </c>
      <c r="F5" s="20"/>
      <c r="G5" s="19">
        <f>G_B2_10</f>
        <v>40</v>
      </c>
      <c r="H5" s="23">
        <f>G_80P_10</f>
        <v>850</v>
      </c>
      <c r="I5" s="21">
        <f>G_opp</f>
        <v>0.15</v>
      </c>
      <c r="J5" s="22">
        <f>G_ned</f>
        <v>0.3</v>
      </c>
      <c r="K5" s="24">
        <f>G_pluss</f>
        <v>0.08</v>
      </c>
      <c r="L5" s="17"/>
      <c r="M5" s="18"/>
      <c r="N5" s="11"/>
      <c r="O5" s="12"/>
    </row>
    <row r="6" spans="2:15" ht="12" customHeight="1" hidden="1" outlineLevel="1">
      <c r="B6" s="56" t="s">
        <v>12</v>
      </c>
      <c r="E6" s="20">
        <f>G_600_10</f>
        <v>113</v>
      </c>
      <c r="F6" s="20">
        <f>G_600_M</f>
        <v>2.7</v>
      </c>
      <c r="G6" s="19"/>
      <c r="H6" s="23"/>
      <c r="I6" s="21"/>
      <c r="J6" s="22"/>
      <c r="K6" s="24"/>
      <c r="L6" s="17"/>
      <c r="M6" s="18"/>
      <c r="N6" s="11"/>
      <c r="O6" s="12"/>
    </row>
    <row r="7" spans="2:15" ht="12" customHeight="1" hidden="1" outlineLevel="1">
      <c r="B7" s="4" t="s">
        <v>15</v>
      </c>
      <c r="E7" s="20"/>
      <c r="F7" s="20"/>
      <c r="G7" s="19"/>
      <c r="H7" s="23"/>
      <c r="I7" s="21"/>
      <c r="J7" s="22"/>
      <c r="K7" s="24"/>
      <c r="L7" s="17"/>
      <c r="M7" s="18"/>
      <c r="N7" s="11"/>
      <c r="O7" s="12"/>
    </row>
    <row r="8" spans="2:15" ht="12" customHeight="1" hidden="1" outlineLevel="1">
      <c r="B8" s="14" t="s">
        <v>9</v>
      </c>
      <c r="E8" s="19">
        <f>G_60_11</f>
        <v>8.75</v>
      </c>
      <c r="F8" s="20">
        <f>G_60_M</f>
        <v>31</v>
      </c>
      <c r="G8" s="19"/>
      <c r="H8" s="23"/>
      <c r="I8" s="21"/>
      <c r="J8" s="22"/>
      <c r="K8" s="24"/>
      <c r="L8" s="17"/>
      <c r="M8" s="18"/>
      <c r="N8" s="11"/>
      <c r="O8" s="12"/>
    </row>
    <row r="9" spans="2:15" ht="12" customHeight="1" hidden="1" outlineLevel="1">
      <c r="B9" s="14" t="s">
        <v>10</v>
      </c>
      <c r="E9" s="19">
        <f>G_L_11</f>
        <v>4.55</v>
      </c>
      <c r="F9" s="20">
        <f>G_L_M</f>
        <v>2.1</v>
      </c>
      <c r="G9" s="19"/>
      <c r="H9" s="23"/>
      <c r="I9" s="21"/>
      <c r="J9" s="22"/>
      <c r="K9" s="24"/>
      <c r="L9" s="17"/>
      <c r="M9" s="18"/>
      <c r="N9" s="11"/>
      <c r="O9" s="12"/>
    </row>
    <row r="10" spans="2:15" ht="12" customHeight="1" hidden="1" outlineLevel="1">
      <c r="B10" s="14" t="s">
        <v>11</v>
      </c>
      <c r="E10" s="19">
        <f>G_B1_11</f>
        <v>60</v>
      </c>
      <c r="F10" s="20"/>
      <c r="G10" s="19">
        <f>G_B2_11</f>
        <v>48</v>
      </c>
      <c r="H10" s="23">
        <f>G_80P_11</f>
        <v>820</v>
      </c>
      <c r="I10" s="21">
        <f>G_opp</f>
        <v>0.15</v>
      </c>
      <c r="J10" s="22">
        <f>G_ned</f>
        <v>0.3</v>
      </c>
      <c r="K10" s="24">
        <f>G_pluss</f>
        <v>0.08</v>
      </c>
      <c r="L10" s="17"/>
      <c r="M10" s="18"/>
      <c r="N10" s="11"/>
      <c r="O10" s="12"/>
    </row>
    <row r="11" spans="2:15" ht="12" customHeight="1" hidden="1" outlineLevel="1">
      <c r="B11" s="56" t="s">
        <v>12</v>
      </c>
      <c r="E11" s="20">
        <f>G_600_11</f>
        <v>106</v>
      </c>
      <c r="F11" s="20">
        <f>G_600_M</f>
        <v>2.7</v>
      </c>
      <c r="G11" s="19"/>
      <c r="H11" s="23"/>
      <c r="I11" s="21"/>
      <c r="J11" s="22"/>
      <c r="K11" s="24"/>
      <c r="L11" s="17"/>
      <c r="M11" s="18"/>
      <c r="N11" s="11"/>
      <c r="O11" s="12"/>
    </row>
    <row r="12" spans="2:15" ht="12" customHeight="1" hidden="1" outlineLevel="1">
      <c r="B12" s="14" t="s">
        <v>13</v>
      </c>
      <c r="E12" s="20">
        <f>G_800_11</f>
        <v>148</v>
      </c>
      <c r="F12" s="20">
        <f>G_800_M</f>
        <v>1.8</v>
      </c>
      <c r="G12" s="19"/>
      <c r="H12" s="23"/>
      <c r="I12" s="21"/>
      <c r="J12" s="22"/>
      <c r="K12" s="24"/>
      <c r="L12" s="17"/>
      <c r="M12" s="18"/>
      <c r="N12" s="11"/>
      <c r="O12" s="12"/>
    </row>
    <row r="13" spans="2:15" ht="12" customHeight="1" hidden="1" outlineLevel="1">
      <c r="B13" s="4" t="s">
        <v>16</v>
      </c>
      <c r="E13" s="20"/>
      <c r="F13" s="20"/>
      <c r="G13" s="19"/>
      <c r="H13" s="23"/>
      <c r="I13" s="21"/>
      <c r="J13" s="22"/>
      <c r="K13" s="24"/>
      <c r="L13" s="17"/>
      <c r="M13" s="18"/>
      <c r="N13" s="11"/>
      <c r="O13" s="12"/>
    </row>
    <row r="14" spans="2:15" ht="12" customHeight="1" hidden="1" outlineLevel="1">
      <c r="B14" s="14" t="s">
        <v>9</v>
      </c>
      <c r="E14" s="19">
        <f>G_60_12</f>
        <v>8.3</v>
      </c>
      <c r="F14" s="20">
        <f>G_60_M</f>
        <v>31</v>
      </c>
      <c r="G14" s="19"/>
      <c r="H14" s="23"/>
      <c r="I14" s="21"/>
      <c r="J14" s="22"/>
      <c r="K14" s="24"/>
      <c r="L14" s="17"/>
      <c r="M14" s="18"/>
      <c r="N14" s="11"/>
      <c r="O14" s="12"/>
    </row>
    <row r="15" spans="2:15" ht="12" customHeight="1" hidden="1" outlineLevel="1">
      <c r="B15" s="14" t="s">
        <v>10</v>
      </c>
      <c r="C15" s="14" t="s">
        <v>17</v>
      </c>
      <c r="E15" s="19">
        <f>G_L_12</f>
        <v>4.95</v>
      </c>
      <c r="F15" s="20">
        <f>G_L_M</f>
        <v>2.1</v>
      </c>
      <c r="G15" s="19"/>
      <c r="H15" s="23"/>
      <c r="I15" s="21"/>
      <c r="J15" s="22"/>
      <c r="K15" s="24"/>
      <c r="L15" s="17"/>
      <c r="M15" s="18"/>
      <c r="N15" s="11"/>
      <c r="O15" s="12"/>
    </row>
    <row r="16" spans="2:15" ht="12" customHeight="1" hidden="1" outlineLevel="1">
      <c r="B16" s="14" t="s">
        <v>11</v>
      </c>
      <c r="E16" s="19">
        <v>68</v>
      </c>
      <c r="F16" s="20"/>
      <c r="G16" s="19">
        <v>54.4</v>
      </c>
      <c r="H16" s="23">
        <v>796</v>
      </c>
      <c r="I16" s="21">
        <f>G_opp</f>
        <v>0.15</v>
      </c>
      <c r="J16" s="22">
        <f>G_ned</f>
        <v>0.3</v>
      </c>
      <c r="K16" s="24">
        <f>G_pluss</f>
        <v>0.08</v>
      </c>
      <c r="L16" s="17"/>
      <c r="M16" s="18"/>
      <c r="N16" s="11"/>
      <c r="O16" s="12"/>
    </row>
    <row r="17" spans="2:15" ht="12" customHeight="1" hidden="1" outlineLevel="1">
      <c r="B17" s="56" t="s">
        <v>12</v>
      </c>
      <c r="E17" s="20">
        <f>G_600_12</f>
        <v>100</v>
      </c>
      <c r="F17" s="20">
        <f>G_600_M</f>
        <v>2.7</v>
      </c>
      <c r="G17" s="19"/>
      <c r="H17" s="23"/>
      <c r="I17" s="21"/>
      <c r="J17" s="22"/>
      <c r="K17" s="24"/>
      <c r="L17" s="17"/>
      <c r="M17" s="18"/>
      <c r="N17" s="11"/>
      <c r="O17" s="12"/>
    </row>
    <row r="18" spans="2:15" ht="12" customHeight="1" hidden="1" outlineLevel="1">
      <c r="B18" s="14" t="s">
        <v>13</v>
      </c>
      <c r="E18" s="20">
        <f>G_800_12</f>
        <v>140.5</v>
      </c>
      <c r="F18" s="20">
        <f>G_800_M</f>
        <v>1.8</v>
      </c>
      <c r="G18" s="19"/>
      <c r="H18" s="23"/>
      <c r="I18" s="21"/>
      <c r="J18" s="22"/>
      <c r="K18" s="24"/>
      <c r="L18" s="17"/>
      <c r="M18" s="18"/>
      <c r="N18" s="11"/>
      <c r="O18" s="12"/>
    </row>
    <row r="19" ht="28.5" customHeight="1" collapsed="1">
      <c r="A19" s="25" t="s">
        <v>104</v>
      </c>
    </row>
    <row r="20" ht="28.5" customHeight="1" outlineLevel="1">
      <c r="A20" s="25" t="s">
        <v>0</v>
      </c>
    </row>
    <row r="21" spans="1:14" ht="19.5">
      <c r="A21" s="28"/>
      <c r="D21" s="29" t="s">
        <v>18</v>
      </c>
      <c r="E21" s="30"/>
      <c r="F21" s="29" t="s">
        <v>10</v>
      </c>
      <c r="G21" s="30"/>
      <c r="H21" s="29" t="s">
        <v>19</v>
      </c>
      <c r="I21" s="30"/>
      <c r="J21" s="31" t="s">
        <v>20</v>
      </c>
      <c r="K21" s="32" t="s">
        <v>12</v>
      </c>
      <c r="L21" s="33" t="s">
        <v>17</v>
      </c>
      <c r="M21" s="34"/>
      <c r="N21" s="35" t="s">
        <v>37</v>
      </c>
    </row>
    <row r="22" spans="1:14" s="4" customFormat="1" ht="12.75" hidden="1" outlineLevel="1">
      <c r="A22" s="1" t="s">
        <v>21</v>
      </c>
      <c r="B22" s="4" t="s">
        <v>22</v>
      </c>
      <c r="C22" s="4" t="s">
        <v>23</v>
      </c>
      <c r="D22" s="5"/>
      <c r="E22" s="1"/>
      <c r="F22" s="5"/>
      <c r="G22" s="1"/>
      <c r="H22" s="36"/>
      <c r="J22" s="26"/>
      <c r="K22" s="17"/>
      <c r="L22" s="10"/>
      <c r="M22" s="37"/>
      <c r="N22" s="27"/>
    </row>
    <row r="23" spans="1:14" ht="24" customHeight="1" collapsed="1">
      <c r="A23" s="57"/>
      <c r="B23" s="57" t="s">
        <v>74</v>
      </c>
      <c r="C23" s="47"/>
      <c r="D23" s="49"/>
      <c r="E23" s="48"/>
      <c r="F23" s="49"/>
      <c r="H23" s="50"/>
      <c r="J23" s="51"/>
      <c r="K23" s="52"/>
      <c r="L23" s="3"/>
      <c r="M23" s="53"/>
      <c r="N23" s="54"/>
    </row>
    <row r="24" spans="1:15" s="56" customFormat="1" ht="12" customHeight="1">
      <c r="A24" s="84">
        <v>159</v>
      </c>
      <c r="B24" s="78" t="s">
        <v>86</v>
      </c>
      <c r="C24" s="78" t="s">
        <v>65</v>
      </c>
      <c r="D24" s="87">
        <v>9.57</v>
      </c>
      <c r="E24" s="48">
        <f aca="true" t="shared" si="0" ref="E24:E29">IF(D24=0,0,MAX(0,1000+10*(G_60_10-D24)*G_60_M))</f>
        <v>900.8</v>
      </c>
      <c r="F24" s="49">
        <v>3.85</v>
      </c>
      <c r="G24" s="1">
        <f aca="true" t="shared" si="1" ref="G24:G29">IF(F24=0,0,MAX(0,TRUNC(1000+100*(F24-G_L_10)*G_L_M)))</f>
        <v>947</v>
      </c>
      <c r="H24" s="50">
        <v>28.64</v>
      </c>
      <c r="I24" s="4">
        <f aca="true" t="shared" si="2" ref="I24:I29">IF(H24=0,0,IF(H24&gt;=G_B1_10,TRUNC(1000+(H24-G_B1_10)*100*G_pluss),IF(H24&gt;=G_B2_10,TRUNC(G_80P_10+(H24-G_B2_10)*100*G_opp),TRUNC(G_80P_10-(G_B2_10-H24)*100*G_ned))))</f>
        <v>509</v>
      </c>
      <c r="J24" s="51">
        <f aca="true" t="shared" si="3" ref="J24:J29">SUM(E24,G24,I24)</f>
        <v>2356.8</v>
      </c>
      <c r="K24" s="55" t="s">
        <v>124</v>
      </c>
      <c r="L24" s="3">
        <v>127.3</v>
      </c>
      <c r="M24" s="53">
        <f aca="true" t="shared" si="4" ref="M24:M29">IF(L24=0,0,MAX(0,1000+10*(G_600_11-L24)*G_600_M))</f>
        <v>424.9000000000001</v>
      </c>
      <c r="N24" s="54">
        <f aca="true" t="shared" si="5" ref="N24:N29">SUM(E24,G24,I24,M24)</f>
        <v>2781.7000000000003</v>
      </c>
      <c r="O24" s="14"/>
    </row>
    <row r="25" spans="1:15" s="56" customFormat="1" ht="12" customHeight="1">
      <c r="A25" s="84">
        <v>157</v>
      </c>
      <c r="B25" s="78" t="s">
        <v>87</v>
      </c>
      <c r="C25" s="78" t="s">
        <v>65</v>
      </c>
      <c r="D25" s="86">
        <v>10.28</v>
      </c>
      <c r="E25" s="48">
        <f t="shared" si="0"/>
        <v>680.7000000000003</v>
      </c>
      <c r="F25" s="49">
        <v>3.14</v>
      </c>
      <c r="G25" s="1">
        <f t="shared" si="1"/>
        <v>798</v>
      </c>
      <c r="H25" s="82">
        <v>29.55</v>
      </c>
      <c r="I25" s="4">
        <f t="shared" si="2"/>
        <v>536</v>
      </c>
      <c r="J25" s="51">
        <f t="shared" si="3"/>
        <v>2014.7000000000003</v>
      </c>
      <c r="K25" s="90" t="s">
        <v>125</v>
      </c>
      <c r="L25" s="3">
        <v>127.7</v>
      </c>
      <c r="M25" s="53">
        <f t="shared" si="4"/>
        <v>414.0999999999999</v>
      </c>
      <c r="N25" s="54">
        <f t="shared" si="5"/>
        <v>2428.8</v>
      </c>
      <c r="O25" s="14"/>
    </row>
    <row r="26" spans="1:15" s="56" customFormat="1" ht="12" customHeight="1">
      <c r="A26" s="84">
        <v>156</v>
      </c>
      <c r="B26" s="78" t="s">
        <v>85</v>
      </c>
      <c r="C26" s="78" t="s">
        <v>65</v>
      </c>
      <c r="D26" s="86">
        <v>11</v>
      </c>
      <c r="E26" s="48">
        <f t="shared" si="0"/>
        <v>457.5</v>
      </c>
      <c r="F26" s="49">
        <v>2.67</v>
      </c>
      <c r="G26" s="1">
        <f t="shared" si="1"/>
        <v>699</v>
      </c>
      <c r="H26" s="50">
        <v>25.19</v>
      </c>
      <c r="I26" s="4">
        <f t="shared" si="2"/>
        <v>405</v>
      </c>
      <c r="J26" s="51">
        <f t="shared" si="3"/>
        <v>1561.5</v>
      </c>
      <c r="K26" s="55" t="s">
        <v>126</v>
      </c>
      <c r="L26" s="3">
        <v>145.1</v>
      </c>
      <c r="M26" s="53">
        <f t="shared" si="4"/>
        <v>0</v>
      </c>
      <c r="N26" s="54">
        <f t="shared" si="5"/>
        <v>1561.5</v>
      </c>
      <c r="O26" s="14"/>
    </row>
    <row r="27" spans="1:15" s="56" customFormat="1" ht="12" customHeight="1">
      <c r="A27" s="84">
        <v>232</v>
      </c>
      <c r="B27" s="20" t="s">
        <v>92</v>
      </c>
      <c r="C27" s="78" t="s">
        <v>65</v>
      </c>
      <c r="D27" s="86">
        <v>10.93</v>
      </c>
      <c r="E27" s="48">
        <f t="shared" si="0"/>
        <v>479.20000000000005</v>
      </c>
      <c r="F27" s="49">
        <v>2.74</v>
      </c>
      <c r="G27" s="1">
        <f t="shared" si="1"/>
        <v>714</v>
      </c>
      <c r="H27" s="50">
        <v>16.32</v>
      </c>
      <c r="I27" s="4">
        <f t="shared" si="2"/>
        <v>139</v>
      </c>
      <c r="J27" s="51">
        <f t="shared" si="3"/>
        <v>1332.2</v>
      </c>
      <c r="K27" s="55" t="s">
        <v>127</v>
      </c>
      <c r="L27" s="3">
        <v>148</v>
      </c>
      <c r="M27" s="53">
        <f t="shared" si="4"/>
        <v>0</v>
      </c>
      <c r="N27" s="54">
        <f t="shared" si="5"/>
        <v>1332.2</v>
      </c>
      <c r="O27" s="14"/>
    </row>
    <row r="28" spans="1:15" s="56" customFormat="1" ht="12" customHeight="1" hidden="1" outlineLevel="1">
      <c r="A28" s="76"/>
      <c r="B28" s="20"/>
      <c r="C28" s="78"/>
      <c r="D28" s="86"/>
      <c r="E28" s="48">
        <f t="shared" si="0"/>
        <v>0</v>
      </c>
      <c r="F28" s="49"/>
      <c r="G28" s="1">
        <f t="shared" si="1"/>
        <v>0</v>
      </c>
      <c r="H28" s="50"/>
      <c r="I28" s="4">
        <f t="shared" si="2"/>
        <v>0</v>
      </c>
      <c r="J28" s="51">
        <f t="shared" si="3"/>
        <v>0</v>
      </c>
      <c r="K28" s="55"/>
      <c r="L28" s="3"/>
      <c r="M28" s="53">
        <f t="shared" si="4"/>
        <v>0</v>
      </c>
      <c r="N28" s="54">
        <f t="shared" si="5"/>
        <v>0</v>
      </c>
      <c r="O28" s="14"/>
    </row>
    <row r="29" spans="1:15" s="56" customFormat="1" ht="12" customHeight="1" hidden="1" outlineLevel="1">
      <c r="A29" s="84"/>
      <c r="B29" s="78"/>
      <c r="C29" s="78"/>
      <c r="D29" s="86"/>
      <c r="E29" s="48">
        <f t="shared" si="0"/>
        <v>0</v>
      </c>
      <c r="F29" s="82"/>
      <c r="G29" s="1">
        <f t="shared" si="1"/>
        <v>0</v>
      </c>
      <c r="H29" s="50"/>
      <c r="I29" s="4">
        <f t="shared" si="2"/>
        <v>0</v>
      </c>
      <c r="J29" s="51">
        <f t="shared" si="3"/>
        <v>0</v>
      </c>
      <c r="K29" s="55"/>
      <c r="L29" s="3"/>
      <c r="M29" s="53">
        <f t="shared" si="4"/>
        <v>0</v>
      </c>
      <c r="N29" s="54">
        <f t="shared" si="5"/>
        <v>0</v>
      </c>
      <c r="O29" s="14"/>
    </row>
    <row r="30" spans="1:15" s="56" customFormat="1" ht="12" customHeight="1" hidden="1" outlineLevel="1">
      <c r="A30" s="84"/>
      <c r="B30" s="20"/>
      <c r="D30" s="86"/>
      <c r="E30" s="48"/>
      <c r="F30" s="49"/>
      <c r="G30" s="1"/>
      <c r="H30" s="82"/>
      <c r="I30" s="4"/>
      <c r="J30" s="51"/>
      <c r="K30" s="55"/>
      <c r="L30" s="3"/>
      <c r="M30" s="53"/>
      <c r="N30" s="54"/>
      <c r="O30" s="14"/>
    </row>
    <row r="31" spans="1:15" s="56" customFormat="1" ht="12" customHeight="1" hidden="1" outlineLevel="1">
      <c r="A31" s="77"/>
      <c r="B31" s="79"/>
      <c r="C31" s="79"/>
      <c r="D31" s="16"/>
      <c r="E31" s="48"/>
      <c r="F31" s="49"/>
      <c r="G31" s="1"/>
      <c r="H31" s="50"/>
      <c r="I31" s="4"/>
      <c r="J31" s="51"/>
      <c r="K31" s="55"/>
      <c r="L31" s="3"/>
      <c r="M31" s="53"/>
      <c r="N31" s="54"/>
      <c r="O31" s="14"/>
    </row>
    <row r="32" spans="1:14" ht="23.25" customHeight="1" collapsed="1">
      <c r="A32" s="57"/>
      <c r="B32" s="57" t="s">
        <v>75</v>
      </c>
      <c r="C32" s="47"/>
      <c r="D32" s="49"/>
      <c r="E32" s="48"/>
      <c r="F32" s="49"/>
      <c r="H32" s="67" t="s">
        <v>19</v>
      </c>
      <c r="J32" s="51"/>
      <c r="K32" s="52"/>
      <c r="L32" s="3"/>
      <c r="M32" s="53"/>
      <c r="N32" s="54"/>
    </row>
    <row r="33" spans="1:15" s="56" customFormat="1" ht="12" customHeight="1">
      <c r="A33" s="76">
        <v>332</v>
      </c>
      <c r="B33" s="78" t="s">
        <v>121</v>
      </c>
      <c r="C33" s="78" t="s">
        <v>98</v>
      </c>
      <c r="D33" s="16">
        <v>9.66</v>
      </c>
      <c r="E33" s="48">
        <f aca="true" t="shared" si="6" ref="E33:E47">IF(D33=0,0,MAX(0,1000+10*(G_60_11-D33)*G_60_M))</f>
        <v>717.9</v>
      </c>
      <c r="F33" s="49">
        <v>4.03</v>
      </c>
      <c r="G33" s="1">
        <f aca="true" t="shared" si="7" ref="G33:G42">IF(F33=0,0,MAX(0,TRUNC(1000+100*(F33-G_L_11)*G_L_M)))</f>
        <v>890</v>
      </c>
      <c r="H33" s="50">
        <v>43.72</v>
      </c>
      <c r="I33" s="4">
        <f aca="true" t="shared" si="8" ref="I33:I42">IF(H33=0,0,IF(H33&gt;=G_B1_11,TRUNC(1000+(H33-G_B1_11)*100*G_pluss),IF(H33&gt;=G_B2_11,TRUNC(G_80P_11+(H33-G_B2_11)*100*G_opp),TRUNC(G_80P_11-(G_B2_11-H33)*100*G_ned))))</f>
        <v>691</v>
      </c>
      <c r="J33" s="51">
        <f aca="true" t="shared" si="9" ref="J33:J47">SUM(E33,G33,I33)</f>
        <v>2298.9</v>
      </c>
      <c r="K33" s="55" t="s">
        <v>131</v>
      </c>
      <c r="L33" s="3">
        <v>119.9</v>
      </c>
      <c r="M33" s="53">
        <f aca="true" t="shared" si="10" ref="M33:M47">IF(L33=0,0,MAX(0,1000+10*(G_600_11-L33)*G_600_M))</f>
        <v>624.6999999999998</v>
      </c>
      <c r="N33" s="54">
        <f aca="true" t="shared" si="11" ref="N33:N42">SUM(E33,G33,I33,M33)</f>
        <v>2923.6</v>
      </c>
      <c r="O33" s="14"/>
    </row>
    <row r="34" spans="1:15" s="56" customFormat="1" ht="12" customHeight="1">
      <c r="A34" s="80">
        <v>266</v>
      </c>
      <c r="B34" s="85" t="s">
        <v>83</v>
      </c>
      <c r="C34" s="56" t="s">
        <v>82</v>
      </c>
      <c r="D34" s="16">
        <v>9.25</v>
      </c>
      <c r="E34" s="48">
        <f t="shared" si="6"/>
        <v>845</v>
      </c>
      <c r="F34" s="49">
        <v>3.93</v>
      </c>
      <c r="G34" s="1">
        <f t="shared" si="7"/>
        <v>869</v>
      </c>
      <c r="H34" s="50">
        <v>33.36</v>
      </c>
      <c r="I34" s="4">
        <f t="shared" si="8"/>
        <v>380</v>
      </c>
      <c r="J34" s="51">
        <f t="shared" si="9"/>
        <v>2094</v>
      </c>
      <c r="K34" s="55" t="s">
        <v>128</v>
      </c>
      <c r="L34" s="3">
        <v>113.1</v>
      </c>
      <c r="M34" s="53">
        <f t="shared" si="10"/>
        <v>808.3000000000002</v>
      </c>
      <c r="N34" s="54">
        <f t="shared" si="11"/>
        <v>2902.3</v>
      </c>
      <c r="O34" s="14"/>
    </row>
    <row r="35" spans="1:15" s="56" customFormat="1" ht="12" customHeight="1">
      <c r="A35" s="76">
        <v>283</v>
      </c>
      <c r="B35" s="78" t="s">
        <v>110</v>
      </c>
      <c r="C35" s="78" t="s">
        <v>1</v>
      </c>
      <c r="D35" s="16">
        <v>9.22</v>
      </c>
      <c r="E35" s="48">
        <f t="shared" si="6"/>
        <v>854.2999999999998</v>
      </c>
      <c r="F35" s="49">
        <v>3.9</v>
      </c>
      <c r="G35" s="1">
        <f t="shared" si="7"/>
        <v>863</v>
      </c>
      <c r="H35" s="50">
        <v>35.49</v>
      </c>
      <c r="I35" s="4">
        <f t="shared" si="8"/>
        <v>444</v>
      </c>
      <c r="J35" s="51">
        <f t="shared" si="9"/>
        <v>2161.2999999999997</v>
      </c>
      <c r="K35" s="55" t="s">
        <v>130</v>
      </c>
      <c r="L35" s="3">
        <v>118.8</v>
      </c>
      <c r="M35" s="53">
        <f t="shared" si="10"/>
        <v>654.4000000000001</v>
      </c>
      <c r="N35" s="54">
        <f t="shared" si="11"/>
        <v>2815.7</v>
      </c>
      <c r="O35" s="14"/>
    </row>
    <row r="36" spans="1:15" s="56" customFormat="1" ht="12" customHeight="1">
      <c r="A36" s="83">
        <v>253</v>
      </c>
      <c r="B36" s="78" t="s">
        <v>96</v>
      </c>
      <c r="C36" s="78" t="s">
        <v>98</v>
      </c>
      <c r="D36" s="16">
        <v>9.72</v>
      </c>
      <c r="E36" s="48">
        <f t="shared" si="6"/>
        <v>699.2999999999997</v>
      </c>
      <c r="F36" s="49">
        <v>3.53</v>
      </c>
      <c r="G36" s="1">
        <f t="shared" si="7"/>
        <v>785</v>
      </c>
      <c r="H36" s="50">
        <v>38.7</v>
      </c>
      <c r="I36" s="4">
        <f t="shared" si="8"/>
        <v>541</v>
      </c>
      <c r="J36" s="51">
        <f t="shared" si="9"/>
        <v>2025.2999999999997</v>
      </c>
      <c r="K36" s="55" t="s">
        <v>129</v>
      </c>
      <c r="L36" s="3">
        <v>117.8</v>
      </c>
      <c r="M36" s="53">
        <f t="shared" si="10"/>
        <v>681.4000000000001</v>
      </c>
      <c r="N36" s="54">
        <f t="shared" si="11"/>
        <v>2706.7</v>
      </c>
      <c r="O36" s="14"/>
    </row>
    <row r="37" spans="1:15" s="56" customFormat="1" ht="12" customHeight="1">
      <c r="A37" s="84">
        <v>162</v>
      </c>
      <c r="B37" s="20" t="s">
        <v>88</v>
      </c>
      <c r="C37" s="78" t="s">
        <v>65</v>
      </c>
      <c r="D37" s="16">
        <v>9.42</v>
      </c>
      <c r="E37" s="48">
        <f t="shared" si="6"/>
        <v>792.3</v>
      </c>
      <c r="F37" s="49">
        <v>3.89</v>
      </c>
      <c r="G37" s="1">
        <f t="shared" si="7"/>
        <v>861</v>
      </c>
      <c r="H37" s="50">
        <v>39.26</v>
      </c>
      <c r="I37" s="4">
        <f t="shared" si="8"/>
        <v>557</v>
      </c>
      <c r="J37" s="51">
        <f t="shared" si="9"/>
        <v>2210.3</v>
      </c>
      <c r="K37" s="55" t="s">
        <v>132</v>
      </c>
      <c r="L37" s="3">
        <v>129.8</v>
      </c>
      <c r="M37" s="53">
        <f t="shared" si="10"/>
        <v>357.39999999999964</v>
      </c>
      <c r="N37" s="54">
        <f t="shared" si="11"/>
        <v>2567.7</v>
      </c>
      <c r="O37" s="14"/>
    </row>
    <row r="38" spans="1:15" s="56" customFormat="1" ht="12" customHeight="1">
      <c r="A38" s="76">
        <v>254</v>
      </c>
      <c r="B38" s="78" t="s">
        <v>66</v>
      </c>
      <c r="C38" s="78" t="s">
        <v>98</v>
      </c>
      <c r="D38" s="16">
        <v>9.63</v>
      </c>
      <c r="E38" s="48">
        <f t="shared" si="6"/>
        <v>727.1999999999998</v>
      </c>
      <c r="F38" s="49">
        <v>3.89</v>
      </c>
      <c r="G38" s="1">
        <f t="shared" si="7"/>
        <v>861</v>
      </c>
      <c r="H38" s="50">
        <v>33.04</v>
      </c>
      <c r="I38" s="4">
        <f t="shared" si="8"/>
        <v>371</v>
      </c>
      <c r="J38" s="51">
        <f t="shared" si="9"/>
        <v>1959.1999999999998</v>
      </c>
      <c r="K38" s="55" t="s">
        <v>136</v>
      </c>
      <c r="L38" s="3">
        <v>127.9</v>
      </c>
      <c r="M38" s="53">
        <f t="shared" si="10"/>
        <v>408.6999999999998</v>
      </c>
      <c r="N38" s="54">
        <f t="shared" si="11"/>
        <v>2367.8999999999996</v>
      </c>
      <c r="O38" s="14"/>
    </row>
    <row r="39" spans="1:15" s="56" customFormat="1" ht="12" customHeight="1">
      <c r="A39" s="76">
        <v>255</v>
      </c>
      <c r="B39" s="78" t="s">
        <v>97</v>
      </c>
      <c r="C39" s="78" t="s">
        <v>98</v>
      </c>
      <c r="D39" s="16">
        <v>9.79</v>
      </c>
      <c r="E39" s="48">
        <f t="shared" si="6"/>
        <v>677.6000000000003</v>
      </c>
      <c r="F39" s="49">
        <v>3.69</v>
      </c>
      <c r="G39" s="1">
        <f t="shared" si="7"/>
        <v>819</v>
      </c>
      <c r="H39" s="50">
        <v>26.68</v>
      </c>
      <c r="I39" s="4">
        <f t="shared" si="8"/>
        <v>180</v>
      </c>
      <c r="J39" s="51">
        <f t="shared" si="9"/>
        <v>1676.6000000000004</v>
      </c>
      <c r="K39" s="55" t="s">
        <v>134</v>
      </c>
      <c r="L39" s="3">
        <v>117.9</v>
      </c>
      <c r="M39" s="53">
        <f t="shared" si="10"/>
        <v>678.6999999999998</v>
      </c>
      <c r="N39" s="54">
        <f t="shared" si="11"/>
        <v>2355.3</v>
      </c>
      <c r="O39" s="14"/>
    </row>
    <row r="40" spans="1:15" s="56" customFormat="1" ht="12" customHeight="1">
      <c r="A40" s="80">
        <v>235</v>
      </c>
      <c r="B40" s="78" t="s">
        <v>63</v>
      </c>
      <c r="C40" s="78" t="s">
        <v>65</v>
      </c>
      <c r="D40" s="16">
        <v>9.76</v>
      </c>
      <c r="E40" s="48">
        <f t="shared" si="6"/>
        <v>686.9000000000001</v>
      </c>
      <c r="F40" s="49">
        <v>3.46</v>
      </c>
      <c r="G40" s="1">
        <f t="shared" si="7"/>
        <v>771</v>
      </c>
      <c r="H40" s="50">
        <v>37.55</v>
      </c>
      <c r="I40" s="4">
        <f t="shared" si="8"/>
        <v>506</v>
      </c>
      <c r="J40" s="51">
        <f t="shared" si="9"/>
        <v>1963.9</v>
      </c>
      <c r="K40" s="55" t="s">
        <v>133</v>
      </c>
      <c r="L40" s="3">
        <v>136.9</v>
      </c>
      <c r="M40" s="53">
        <f t="shared" si="10"/>
        <v>165.69999999999982</v>
      </c>
      <c r="N40" s="54">
        <f t="shared" si="11"/>
        <v>2129.6</v>
      </c>
      <c r="O40" s="14"/>
    </row>
    <row r="41" spans="1:15" s="56" customFormat="1" ht="12" customHeight="1">
      <c r="A41" s="80">
        <v>267</v>
      </c>
      <c r="B41" s="85" t="s">
        <v>84</v>
      </c>
      <c r="C41" s="56" t="s">
        <v>82</v>
      </c>
      <c r="D41" s="16">
        <v>10.37</v>
      </c>
      <c r="E41" s="48">
        <f t="shared" si="6"/>
        <v>497.80000000000024</v>
      </c>
      <c r="F41" s="49">
        <v>3.32</v>
      </c>
      <c r="G41" s="1">
        <f t="shared" si="7"/>
        <v>741</v>
      </c>
      <c r="H41" s="50">
        <v>28.42</v>
      </c>
      <c r="I41" s="4">
        <f t="shared" si="8"/>
        <v>232</v>
      </c>
      <c r="J41" s="51">
        <f t="shared" si="9"/>
        <v>1470.8000000000002</v>
      </c>
      <c r="K41" s="55" t="s">
        <v>135</v>
      </c>
      <c r="L41" s="3">
        <v>126.8</v>
      </c>
      <c r="M41" s="53">
        <f t="shared" si="10"/>
        <v>438.4000000000001</v>
      </c>
      <c r="N41" s="54">
        <f t="shared" si="11"/>
        <v>1909.2000000000003</v>
      </c>
      <c r="O41" s="14"/>
    </row>
    <row r="42" spans="1:15" s="56" customFormat="1" ht="12" customHeight="1">
      <c r="A42" s="84">
        <v>169</v>
      </c>
      <c r="B42" s="78" t="s">
        <v>62</v>
      </c>
      <c r="C42" s="78" t="s">
        <v>65</v>
      </c>
      <c r="D42" s="16">
        <v>10.15</v>
      </c>
      <c r="E42" s="48">
        <f t="shared" si="6"/>
        <v>565.9999999999999</v>
      </c>
      <c r="F42" s="49">
        <v>3.3</v>
      </c>
      <c r="G42" s="1">
        <f t="shared" si="7"/>
        <v>737</v>
      </c>
      <c r="H42" s="50">
        <v>27.11</v>
      </c>
      <c r="I42" s="4">
        <f t="shared" si="8"/>
        <v>193</v>
      </c>
      <c r="J42" s="51">
        <f t="shared" si="9"/>
        <v>1496</v>
      </c>
      <c r="K42" s="55" t="s">
        <v>137</v>
      </c>
      <c r="L42" s="3">
        <v>135</v>
      </c>
      <c r="M42" s="53">
        <f t="shared" si="10"/>
        <v>217</v>
      </c>
      <c r="N42" s="54">
        <f t="shared" si="11"/>
        <v>1713</v>
      </c>
      <c r="O42" s="14"/>
    </row>
    <row r="43" spans="1:15" s="56" customFormat="1" ht="12" customHeight="1">
      <c r="A43" s="84">
        <v>163</v>
      </c>
      <c r="B43" s="20" t="s">
        <v>89</v>
      </c>
      <c r="C43" s="78" t="s">
        <v>65</v>
      </c>
      <c r="D43" s="16">
        <v>12.1</v>
      </c>
      <c r="E43" s="48">
        <f t="shared" si="6"/>
        <v>0</v>
      </c>
      <c r="F43" s="82" t="s">
        <v>122</v>
      </c>
      <c r="G43" s="1"/>
      <c r="H43" s="50"/>
      <c r="I43" s="4">
        <v>0</v>
      </c>
      <c r="J43" s="51">
        <f t="shared" si="9"/>
        <v>0</v>
      </c>
      <c r="K43" s="55"/>
      <c r="L43" s="3"/>
      <c r="M43" s="53">
        <f t="shared" si="10"/>
        <v>0</v>
      </c>
      <c r="N43" s="100" t="s">
        <v>123</v>
      </c>
      <c r="O43" s="14"/>
    </row>
    <row r="44" spans="1:15" s="56" customFormat="1" ht="12" customHeight="1" hidden="1" outlineLevel="1">
      <c r="A44" s="80"/>
      <c r="B44" s="85"/>
      <c r="C44" s="85"/>
      <c r="D44" s="16"/>
      <c r="E44" s="48">
        <f t="shared" si="6"/>
        <v>0</v>
      </c>
      <c r="F44" s="49"/>
      <c r="G44" s="1">
        <f>IF(F44=0,0,MAX(0,TRUNC(1000+100*(F44-G_L_11)*G_L_M)))</f>
        <v>0</v>
      </c>
      <c r="H44" s="50"/>
      <c r="I44" s="4">
        <f>IF(H44=0,0,IF(H44&gt;=G_B1_11,TRUNC(1000+(H44-G_B1_11)*100*G_pluss),IF(H44&gt;=G_B2_11,TRUNC(G_80P_11+(H44-G_B2_11)*100*G_opp),TRUNC(G_80P_11-(G_B2_11-H44)*100*G_ned))))</f>
        <v>0</v>
      </c>
      <c r="J44" s="51">
        <f t="shared" si="9"/>
        <v>0</v>
      </c>
      <c r="K44" s="55"/>
      <c r="L44" s="3"/>
      <c r="M44" s="53">
        <f t="shared" si="10"/>
        <v>0</v>
      </c>
      <c r="N44" s="54">
        <f>SUM(E44,G44,I44,M44)</f>
        <v>0</v>
      </c>
      <c r="O44" s="14"/>
    </row>
    <row r="45" spans="1:15" s="56" customFormat="1" ht="12" customHeight="1" hidden="1" outlineLevel="1">
      <c r="A45" s="76"/>
      <c r="B45" s="78"/>
      <c r="C45" s="78"/>
      <c r="D45" s="16"/>
      <c r="E45" s="48">
        <f t="shared" si="6"/>
        <v>0</v>
      </c>
      <c r="F45" s="49"/>
      <c r="G45" s="1">
        <f>IF(F45=0,0,MAX(0,TRUNC(1000+100*(F45-G_L_11)*G_L_M)))</f>
        <v>0</v>
      </c>
      <c r="H45" s="50"/>
      <c r="I45" s="4">
        <f>IF(H45=0,0,IF(H45&gt;=G_B1_11,TRUNC(1000+(H45-G_B1_11)*100*G_pluss),IF(H45&gt;=G_B2_11,TRUNC(G_80P_11+(H45-G_B2_11)*100*G_opp),TRUNC(G_80P_11-(G_B2_11-H45)*100*G_ned))))</f>
        <v>0</v>
      </c>
      <c r="J45" s="51">
        <f t="shared" si="9"/>
        <v>0</v>
      </c>
      <c r="K45" s="55"/>
      <c r="L45" s="3"/>
      <c r="M45" s="53">
        <f t="shared" si="10"/>
        <v>0</v>
      </c>
      <c r="N45" s="54">
        <f>SUM(E45,G45,I45,M45)</f>
        <v>0</v>
      </c>
      <c r="O45" s="14"/>
    </row>
    <row r="46" spans="1:15" s="56" customFormat="1" ht="12" customHeight="1" hidden="1" outlineLevel="1">
      <c r="A46" s="76"/>
      <c r="B46" s="20"/>
      <c r="C46" s="78"/>
      <c r="D46" s="16"/>
      <c r="E46" s="48">
        <f t="shared" si="6"/>
        <v>0</v>
      </c>
      <c r="F46" s="49"/>
      <c r="G46" s="1">
        <f>IF(F46=0,0,MAX(0,TRUNC(1000+100*(F46-G_L_11)*G_L_M)))</f>
        <v>0</v>
      </c>
      <c r="H46" s="50"/>
      <c r="I46" s="4">
        <f>IF(H46=0,0,IF(H46&gt;=G_B1_11,TRUNC(1000+(H46-G_B1_11)*100*G_pluss),IF(H46&gt;=G_B2_11,TRUNC(G_80P_11+(H46-G_B2_11)*100*G_opp),TRUNC(G_80P_11-(G_B2_11-H46)*100*G_ned))))</f>
        <v>0</v>
      </c>
      <c r="J46" s="51">
        <f t="shared" si="9"/>
        <v>0</v>
      </c>
      <c r="K46" s="55"/>
      <c r="L46" s="3"/>
      <c r="M46" s="53">
        <f t="shared" si="10"/>
        <v>0</v>
      </c>
      <c r="N46" s="54">
        <f>SUM(E46,G46,I46,M46)</f>
        <v>0</v>
      </c>
      <c r="O46" s="14"/>
    </row>
    <row r="47" spans="1:15" s="56" customFormat="1" ht="12" customHeight="1" hidden="1" outlineLevel="1">
      <c r="A47" s="76"/>
      <c r="B47" s="20"/>
      <c r="C47" s="78"/>
      <c r="D47" s="16"/>
      <c r="E47" s="48">
        <f t="shared" si="6"/>
        <v>0</v>
      </c>
      <c r="F47" s="49"/>
      <c r="G47" s="1">
        <f>IF(F47=0,0,MAX(0,TRUNC(1000+100*(F47-G_L_11)*G_L_M)))</f>
        <v>0</v>
      </c>
      <c r="H47" s="50"/>
      <c r="I47" s="4">
        <f>IF(H47=0,0,IF(H47&gt;=G_B1_11,TRUNC(1000+(H47-G_B1_11)*100*G_pluss),IF(H47&gt;=G_B2_11,TRUNC(G_80P_11+(H47-G_B2_11)*100*G_opp),TRUNC(G_80P_11-(G_B2_11-H47)*100*G_ned))))</f>
        <v>0</v>
      </c>
      <c r="J47" s="51">
        <f t="shared" si="9"/>
        <v>0</v>
      </c>
      <c r="K47" s="55"/>
      <c r="L47" s="3"/>
      <c r="M47" s="53">
        <f t="shared" si="10"/>
        <v>0</v>
      </c>
      <c r="N47" s="54">
        <f>SUM(E47,G47,I47,M47)</f>
        <v>0</v>
      </c>
      <c r="O47" s="14"/>
    </row>
    <row r="48" spans="1:15" s="56" customFormat="1" ht="12" customHeight="1" collapsed="1">
      <c r="A48" s="77"/>
      <c r="D48" s="16"/>
      <c r="E48" s="48"/>
      <c r="F48" s="49"/>
      <c r="G48" s="1"/>
      <c r="H48" s="50"/>
      <c r="I48" s="4"/>
      <c r="J48" s="51"/>
      <c r="K48" s="55"/>
      <c r="L48" s="3"/>
      <c r="M48" s="53"/>
      <c r="N48" s="54"/>
      <c r="O48" s="14"/>
    </row>
    <row r="49" spans="2:14" ht="23.25" customHeight="1">
      <c r="B49" s="57" t="s">
        <v>76</v>
      </c>
      <c r="C49" s="47"/>
      <c r="D49" s="49"/>
      <c r="E49" s="59"/>
      <c r="F49" s="49"/>
      <c r="G49" s="38"/>
      <c r="H49" s="88" t="s">
        <v>19</v>
      </c>
      <c r="I49" s="37"/>
      <c r="J49" s="41"/>
      <c r="K49" s="55"/>
      <c r="L49" s="3"/>
      <c r="M49" s="53"/>
      <c r="N49" s="44"/>
    </row>
    <row r="50" spans="1:14" ht="12" customHeight="1">
      <c r="A50" s="76">
        <v>257</v>
      </c>
      <c r="B50" s="20" t="s">
        <v>77</v>
      </c>
      <c r="C50" s="78" t="s">
        <v>80</v>
      </c>
      <c r="D50" s="49">
        <v>10.18</v>
      </c>
      <c r="E50" s="48">
        <f aca="true" t="shared" si="12" ref="E50:E56">IF(D50=0,0,MAX(0,1000+10*(G_60_12-D50)*G_60_M))</f>
        <v>417.2000000000003</v>
      </c>
      <c r="F50" s="49">
        <v>3.06</v>
      </c>
      <c r="G50" s="1">
        <f aca="true" t="shared" si="13" ref="G50:G56">IF(F50=0,0,MAX(0,TRUNC(1000+100*(F50-G_L_12)*G_L_M)))</f>
        <v>603</v>
      </c>
      <c r="H50" s="50">
        <v>41.51</v>
      </c>
      <c r="I50" s="4">
        <f>IF(H50=0,0,IF(H50&gt;=G_B1_12,TRUNC(1000+(H50-G_B1_12)*100*G_pluss),IF(H50&gt;=G_B2_12,TRUNC(G_80P_12+(H50-G_B2_12)*100*G_opp),TRUNC(G_80P_12-(G_B2_12-H50)*100*G_ned))))</f>
        <v>544</v>
      </c>
      <c r="J50" s="26">
        <f aca="true" t="shared" si="14" ref="J50:J56">SUM(E50,G50,I50)</f>
        <v>1564.2000000000003</v>
      </c>
      <c r="K50" s="52" t="s">
        <v>138</v>
      </c>
      <c r="L50" s="3">
        <v>123.5</v>
      </c>
      <c r="M50" s="53">
        <f aca="true" t="shared" si="15" ref="M50:M56">IF(L50=0,0,MAX(0,1000+10*(G_600_12-L50)*G_600_M))</f>
        <v>365.5</v>
      </c>
      <c r="N50" s="54">
        <f aca="true" t="shared" si="16" ref="N50:N55">SUM(E50,G50,I50,M50)</f>
        <v>1929.7000000000003</v>
      </c>
    </row>
    <row r="51" spans="1:14" ht="12" customHeight="1">
      <c r="A51" s="84">
        <v>177</v>
      </c>
      <c r="B51" s="20" t="s">
        <v>64</v>
      </c>
      <c r="C51" s="78" t="s">
        <v>65</v>
      </c>
      <c r="D51" s="49">
        <v>10.37</v>
      </c>
      <c r="E51" s="48">
        <f t="shared" si="12"/>
        <v>358.3000000000004</v>
      </c>
      <c r="F51" s="49">
        <v>3.19</v>
      </c>
      <c r="G51" s="1">
        <f t="shared" si="13"/>
        <v>630</v>
      </c>
      <c r="H51" s="50">
        <v>26.78</v>
      </c>
      <c r="I51" s="4">
        <f>IF(H51=0,0,IF(H51&gt;=G_B1_12,TRUNC(1000+(H51-G_B1_12)*100*G_pluss),IF(H51&gt;=G_B2_12,TRUNC(G_80P_12+(H51-G_B2_12)*100*G_opp),TRUNC(G_80P_12-(G_B2_12-H51)*100*G_ned))))</f>
        <v>102</v>
      </c>
      <c r="J51" s="26">
        <f t="shared" si="14"/>
        <v>1090.3000000000004</v>
      </c>
      <c r="K51" s="52" t="s">
        <v>139</v>
      </c>
      <c r="L51" s="3">
        <v>132.7</v>
      </c>
      <c r="M51" s="53">
        <f t="shared" si="15"/>
        <v>117.10000000000025</v>
      </c>
      <c r="N51" s="54">
        <f t="shared" si="16"/>
        <v>1207.4000000000005</v>
      </c>
    </row>
    <row r="52" spans="1:14" ht="12" customHeight="1" hidden="1" outlineLevel="1">
      <c r="A52" s="76"/>
      <c r="B52" s="20"/>
      <c r="C52" s="20"/>
      <c r="D52" s="49"/>
      <c r="E52" s="48">
        <f t="shared" si="12"/>
        <v>0</v>
      </c>
      <c r="F52" s="49"/>
      <c r="G52" s="1">
        <f t="shared" si="13"/>
        <v>0</v>
      </c>
      <c r="H52" s="50"/>
      <c r="I52" s="4">
        <v>0</v>
      </c>
      <c r="J52" s="26">
        <f t="shared" si="14"/>
        <v>0</v>
      </c>
      <c r="K52" s="52"/>
      <c r="L52" s="3"/>
      <c r="M52" s="53">
        <f t="shared" si="15"/>
        <v>0</v>
      </c>
      <c r="N52" s="54">
        <f t="shared" si="16"/>
        <v>0</v>
      </c>
    </row>
    <row r="53" spans="1:14" ht="12" customHeight="1" hidden="1" outlineLevel="1">
      <c r="A53" s="76"/>
      <c r="B53" s="78"/>
      <c r="C53" s="78"/>
      <c r="D53" s="49"/>
      <c r="E53" s="48">
        <f t="shared" si="12"/>
        <v>0</v>
      </c>
      <c r="F53" s="65"/>
      <c r="G53" s="1">
        <f t="shared" si="13"/>
        <v>0</v>
      </c>
      <c r="H53" s="50"/>
      <c r="I53" s="4">
        <v>0</v>
      </c>
      <c r="J53" s="26">
        <f t="shared" si="14"/>
        <v>0</v>
      </c>
      <c r="K53" s="55"/>
      <c r="L53" s="3"/>
      <c r="M53" s="53">
        <f t="shared" si="15"/>
        <v>0</v>
      </c>
      <c r="N53" s="54">
        <f t="shared" si="16"/>
        <v>0</v>
      </c>
    </row>
    <row r="54" spans="1:14" ht="12" customHeight="1" hidden="1" outlineLevel="1">
      <c r="A54" s="76"/>
      <c r="B54" s="20"/>
      <c r="C54" s="78"/>
      <c r="D54" s="49"/>
      <c r="E54" s="48">
        <f t="shared" si="12"/>
        <v>0</v>
      </c>
      <c r="F54" s="49"/>
      <c r="G54" s="1">
        <f t="shared" si="13"/>
        <v>0</v>
      </c>
      <c r="H54" s="50"/>
      <c r="I54" s="4">
        <v>0</v>
      </c>
      <c r="J54" s="26">
        <f t="shared" si="14"/>
        <v>0</v>
      </c>
      <c r="K54" s="52"/>
      <c r="L54" s="3"/>
      <c r="M54" s="53">
        <f t="shared" si="15"/>
        <v>0</v>
      </c>
      <c r="N54" s="54">
        <f t="shared" si="16"/>
        <v>0</v>
      </c>
    </row>
    <row r="55" spans="1:14" ht="12" customHeight="1" hidden="1" outlineLevel="1">
      <c r="A55" s="76"/>
      <c r="B55" s="45"/>
      <c r="C55" s="20"/>
      <c r="D55" s="49"/>
      <c r="E55" s="48">
        <f t="shared" si="12"/>
        <v>0</v>
      </c>
      <c r="F55" s="65"/>
      <c r="G55" s="1">
        <f t="shared" si="13"/>
        <v>0</v>
      </c>
      <c r="H55" s="50"/>
      <c r="I55" s="4">
        <v>0</v>
      </c>
      <c r="J55" s="26">
        <f t="shared" si="14"/>
        <v>0</v>
      </c>
      <c r="K55" s="55"/>
      <c r="L55" s="3"/>
      <c r="M55" s="53">
        <f t="shared" si="15"/>
        <v>0</v>
      </c>
      <c r="N55" s="54">
        <f t="shared" si="16"/>
        <v>0</v>
      </c>
    </row>
    <row r="56" spans="1:14" ht="12" customHeight="1" hidden="1" outlineLevel="1">
      <c r="A56" s="76"/>
      <c r="B56" s="45"/>
      <c r="C56" s="20"/>
      <c r="D56" s="49"/>
      <c r="E56" s="48">
        <f t="shared" si="12"/>
        <v>0</v>
      </c>
      <c r="F56" s="65"/>
      <c r="G56" s="1">
        <f t="shared" si="13"/>
        <v>0</v>
      </c>
      <c r="H56" s="50"/>
      <c r="I56" s="4">
        <f>IF(H56=0,0,IF(H56&gt;=G_B1_12,TRUNC(1000+(H56-G_B1_12)*100*G_pluss),IF(H56&gt;=G_B2_12,TRUNC(G_80P_12+(H56-G_B2_12)*100*G_opp),TRUNC(G_80P_12-(G_B2_12-H56)*100*G_ned))))</f>
        <v>0</v>
      </c>
      <c r="J56" s="26">
        <f t="shared" si="14"/>
        <v>0</v>
      </c>
      <c r="K56" s="55"/>
      <c r="L56" s="3"/>
      <c r="M56" s="53">
        <f t="shared" si="15"/>
        <v>0</v>
      </c>
      <c r="N56" s="54"/>
    </row>
    <row r="57" spans="1:14" ht="12" customHeight="1" collapsed="1">
      <c r="A57" s="76"/>
      <c r="B57" s="78"/>
      <c r="C57" s="56"/>
      <c r="D57" s="49"/>
      <c r="E57" s="48"/>
      <c r="F57" s="49"/>
      <c r="H57" s="50"/>
      <c r="K57" s="52"/>
      <c r="L57" s="3"/>
      <c r="M57" s="53"/>
      <c r="N57" s="54"/>
    </row>
    <row r="58" spans="1:14" ht="12" customHeight="1">
      <c r="A58" s="76">
        <f>COUNTA(A24:A57)</f>
        <v>17</v>
      </c>
      <c r="B58" s="79"/>
      <c r="C58" s="76">
        <f>COUNTA(C24:C57)</f>
        <v>17</v>
      </c>
      <c r="D58" s="49"/>
      <c r="E58" s="48"/>
      <c r="F58" s="65"/>
      <c r="H58" s="50"/>
      <c r="K58" s="55"/>
      <c r="L58" s="3"/>
      <c r="M58" s="53"/>
      <c r="N58" s="54"/>
    </row>
    <row r="59" spans="1:14" ht="24" customHeight="1" hidden="1" outlineLevel="1">
      <c r="A59" s="57" t="s">
        <v>24</v>
      </c>
      <c r="B59" s="46"/>
      <c r="C59" s="47"/>
      <c r="E59" s="48"/>
      <c r="F59" s="49"/>
      <c r="H59" s="50"/>
      <c r="K59" s="52"/>
      <c r="L59" s="3"/>
      <c r="M59" s="53"/>
      <c r="N59" s="54"/>
    </row>
    <row r="60" spans="1:14" s="66" customFormat="1" ht="20.25" customHeight="1" hidden="1" outlineLevel="1">
      <c r="A60" s="13" t="s">
        <v>25</v>
      </c>
      <c r="D60" s="15"/>
      <c r="E60" s="1"/>
      <c r="F60" s="15"/>
      <c r="G60" s="1"/>
      <c r="H60" s="67"/>
      <c r="I60" s="68"/>
      <c r="J60" s="69"/>
      <c r="K60" s="17"/>
      <c r="L60" s="70"/>
      <c r="M60" s="68"/>
      <c r="N60" s="71"/>
    </row>
    <row r="61" spans="1:14" s="66" customFormat="1" ht="17.25" customHeight="1" hidden="1" outlineLevel="1">
      <c r="A61" s="13" t="s">
        <v>26</v>
      </c>
      <c r="D61" s="15"/>
      <c r="E61" s="1"/>
      <c r="F61" s="15"/>
      <c r="G61" s="1"/>
      <c r="H61" s="67"/>
      <c r="I61" s="68"/>
      <c r="J61" s="69"/>
      <c r="K61" s="17"/>
      <c r="L61" s="70"/>
      <c r="M61" s="68"/>
      <c r="N61" s="71"/>
    </row>
    <row r="62" spans="1:14" s="66" customFormat="1" ht="19.5" customHeight="1" hidden="1" outlineLevel="1">
      <c r="A62" s="13" t="s">
        <v>27</v>
      </c>
      <c r="D62" s="15"/>
      <c r="E62" s="1"/>
      <c r="F62" s="15"/>
      <c r="G62" s="1"/>
      <c r="H62" s="67"/>
      <c r="I62" s="68"/>
      <c r="J62" s="69"/>
      <c r="K62" s="17"/>
      <c r="L62" s="70"/>
      <c r="M62" s="68"/>
      <c r="N62" s="71"/>
    </row>
    <row r="63" spans="1:14" s="66" customFormat="1" ht="12.75" hidden="1" outlineLevel="1">
      <c r="A63" s="13" t="s">
        <v>28</v>
      </c>
      <c r="D63" s="15"/>
      <c r="E63" s="1"/>
      <c r="F63" s="15"/>
      <c r="G63" s="1"/>
      <c r="H63" s="67"/>
      <c r="I63" s="68"/>
      <c r="J63" s="69"/>
      <c r="K63" s="17"/>
      <c r="L63" s="70"/>
      <c r="M63" s="68"/>
      <c r="N63" s="71"/>
    </row>
    <row r="64" ht="12.75" hidden="1" outlineLevel="1">
      <c r="A64" s="20" t="s">
        <v>38</v>
      </c>
    </row>
    <row r="65" ht="12.75" collapsed="1"/>
  </sheetData>
  <sheetProtection password="C67C"/>
  <printOptions horizontalCentered="1"/>
  <pageMargins left="0.5511811023622047" right="0.3937007874015748" top="0.2362204724409449" bottom="0.21" header="0.84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9">
      <selection activeCell="F62" sqref="F62"/>
    </sheetView>
  </sheetViews>
  <sheetFormatPr defaultColWidth="11.421875" defaultRowHeight="12.75" outlineLevelRow="1" outlineLevelCol="1"/>
  <cols>
    <col min="1" max="1" width="6.00390625" style="13" customWidth="1"/>
    <col min="2" max="2" width="24.7109375" style="14" customWidth="1"/>
    <col min="3" max="3" width="18.421875" style="14" customWidth="1"/>
    <col min="4" max="4" width="6.28125" style="15" customWidth="1"/>
    <col min="5" max="5" width="6.28125" style="1" customWidth="1"/>
    <col min="6" max="6" width="6.8515625" style="15" customWidth="1"/>
    <col min="7" max="7" width="6.421875" style="1" customWidth="1"/>
    <col min="8" max="8" width="7.421875" style="16" customWidth="1"/>
    <col min="9" max="9" width="6.57421875" style="4" customWidth="1"/>
    <col min="10" max="10" width="10.57421875" style="26" hidden="1" customWidth="1" outlineLevel="1"/>
    <col min="11" max="11" width="8.421875" style="17" customWidth="1" collapsed="1"/>
    <col min="12" max="12" width="6.57421875" style="18" customWidth="1" outlineLevel="1"/>
    <col min="13" max="13" width="6.8515625" style="4" customWidth="1"/>
    <col min="14" max="14" width="10.28125" style="27" customWidth="1"/>
    <col min="15" max="16384" width="9.140625" style="14" customWidth="1"/>
  </cols>
  <sheetData>
    <row r="1" spans="1:15" s="4" customFormat="1" ht="15.75" customHeight="1" hidden="1" outlineLevel="1">
      <c r="A1" s="1"/>
      <c r="B1" s="2" t="s">
        <v>50</v>
      </c>
      <c r="C1" s="3"/>
      <c r="D1" s="5"/>
      <c r="E1" s="1" t="s">
        <v>2</v>
      </c>
      <c r="F1" s="1" t="s">
        <v>3</v>
      </c>
      <c r="G1" s="6">
        <v>0.8</v>
      </c>
      <c r="H1" s="7" t="s">
        <v>4</v>
      </c>
      <c r="I1" s="8" t="s">
        <v>5</v>
      </c>
      <c r="J1" s="8" t="s">
        <v>6</v>
      </c>
      <c r="K1" s="8" t="s">
        <v>7</v>
      </c>
      <c r="L1" s="9"/>
      <c r="M1" s="10"/>
      <c r="N1" s="11"/>
      <c r="O1" s="12"/>
    </row>
    <row r="2" spans="2:15" ht="12" customHeight="1" hidden="1" outlineLevel="1">
      <c r="B2" s="4" t="s">
        <v>58</v>
      </c>
      <c r="F2" s="1"/>
      <c r="G2" s="15"/>
      <c r="I2" s="16"/>
      <c r="J2" s="11"/>
      <c r="K2" s="8"/>
      <c r="L2" s="17"/>
      <c r="M2" s="18"/>
      <c r="N2" s="11"/>
      <c r="O2" s="12"/>
    </row>
    <row r="3" spans="2:15" ht="12" customHeight="1" hidden="1" outlineLevel="1">
      <c r="B3" s="14" t="s">
        <v>9</v>
      </c>
      <c r="E3" s="19">
        <f>J_60_10</f>
        <v>9.25</v>
      </c>
      <c r="F3" s="20">
        <f>J_60_M</f>
        <v>27</v>
      </c>
      <c r="G3" s="19"/>
      <c r="H3" s="21"/>
      <c r="I3" s="21"/>
      <c r="J3" s="22"/>
      <c r="K3" s="8"/>
      <c r="L3" s="17"/>
      <c r="M3" s="18"/>
      <c r="N3" s="11"/>
      <c r="O3" s="12"/>
    </row>
    <row r="4" spans="2:15" ht="12" customHeight="1" hidden="1" outlineLevel="1">
      <c r="B4" s="14" t="s">
        <v>10</v>
      </c>
      <c r="E4" s="19">
        <f>J_L_10</f>
        <v>4</v>
      </c>
      <c r="F4" s="20">
        <f>J_L_M</f>
        <v>2.4</v>
      </c>
      <c r="G4" s="19"/>
      <c r="H4" s="21"/>
      <c r="I4" s="21"/>
      <c r="J4" s="22"/>
      <c r="K4" s="8"/>
      <c r="L4" s="17"/>
      <c r="M4" s="18"/>
      <c r="N4" s="11"/>
      <c r="O4" s="12"/>
    </row>
    <row r="5" spans="2:15" ht="12" customHeight="1" hidden="1" outlineLevel="1">
      <c r="B5" s="14" t="s">
        <v>11</v>
      </c>
      <c r="E5" s="19">
        <f>J_B1_10</f>
        <v>38</v>
      </c>
      <c r="F5" s="20"/>
      <c r="G5" s="19">
        <f>J_B2_10</f>
        <v>30.4</v>
      </c>
      <c r="H5" s="23">
        <f>J_80P_10</f>
        <v>848</v>
      </c>
      <c r="I5" s="110">
        <v>0.2</v>
      </c>
      <c r="J5" s="111">
        <f>J_ned</f>
        <v>0.4</v>
      </c>
      <c r="K5" s="112">
        <f>J_pluss</f>
        <v>0.1</v>
      </c>
      <c r="L5" s="17"/>
      <c r="M5" s="18"/>
      <c r="N5" s="11"/>
      <c r="O5" s="12"/>
    </row>
    <row r="6" spans="2:15" ht="12" customHeight="1" hidden="1" outlineLevel="1">
      <c r="B6" s="56" t="s">
        <v>12</v>
      </c>
      <c r="E6" s="20">
        <f>J_600_10</f>
        <v>118</v>
      </c>
      <c r="F6" s="20">
        <f>J_600_M</f>
        <v>2.4</v>
      </c>
      <c r="G6" s="19"/>
      <c r="H6" s="23"/>
      <c r="I6" s="110"/>
      <c r="J6" s="111"/>
      <c r="K6" s="112"/>
      <c r="L6" s="17"/>
      <c r="M6" s="18"/>
      <c r="N6" s="11"/>
      <c r="O6" s="12"/>
    </row>
    <row r="7" spans="2:15" ht="12" customHeight="1" hidden="1" outlineLevel="1">
      <c r="B7" s="4" t="s">
        <v>8</v>
      </c>
      <c r="F7" s="1"/>
      <c r="G7" s="15"/>
      <c r="I7" s="18"/>
      <c r="J7" s="113"/>
      <c r="K7" s="114"/>
      <c r="L7" s="17"/>
      <c r="M7" s="18"/>
      <c r="N7" s="11"/>
      <c r="O7" s="12"/>
    </row>
    <row r="8" spans="2:15" ht="12" customHeight="1" hidden="1" outlineLevel="1">
      <c r="B8" s="14" t="s">
        <v>9</v>
      </c>
      <c r="E8" s="19">
        <f>J_60_11</f>
        <v>8.8</v>
      </c>
      <c r="F8" s="20">
        <f>J_60_M</f>
        <v>27</v>
      </c>
      <c r="G8" s="19"/>
      <c r="H8" s="21"/>
      <c r="I8" s="110"/>
      <c r="J8" s="111"/>
      <c r="K8" s="114"/>
      <c r="L8" s="17"/>
      <c r="M8" s="18"/>
      <c r="N8" s="11"/>
      <c r="O8" s="12"/>
    </row>
    <row r="9" spans="2:15" ht="12" customHeight="1" hidden="1" outlineLevel="1">
      <c r="B9" s="14" t="s">
        <v>10</v>
      </c>
      <c r="E9" s="19">
        <f>J_L_11</f>
        <v>4.4</v>
      </c>
      <c r="F9" s="20">
        <f>J_L_M</f>
        <v>2.4</v>
      </c>
      <c r="G9" s="19"/>
      <c r="H9" s="21"/>
      <c r="I9" s="110"/>
      <c r="J9" s="111"/>
      <c r="K9" s="114"/>
      <c r="L9" s="17"/>
      <c r="M9" s="18"/>
      <c r="N9" s="11"/>
      <c r="O9" s="12"/>
    </row>
    <row r="10" spans="2:15" ht="12" customHeight="1" hidden="1" outlineLevel="1">
      <c r="B10" s="14" t="s">
        <v>11</v>
      </c>
      <c r="E10" s="19">
        <f>J_B1_11</f>
        <v>44</v>
      </c>
      <c r="F10" s="20"/>
      <c r="G10" s="19">
        <f>J_B2_11</f>
        <v>35.2</v>
      </c>
      <c r="H10" s="23">
        <f>J_80P_11</f>
        <v>824</v>
      </c>
      <c r="I10" s="110">
        <f>J_opp</f>
        <v>0.2</v>
      </c>
      <c r="J10" s="111">
        <f>J_ned</f>
        <v>0.4</v>
      </c>
      <c r="K10" s="112">
        <f>J_pluss</f>
        <v>0.1</v>
      </c>
      <c r="L10" s="17"/>
      <c r="M10" s="18"/>
      <c r="N10" s="11"/>
      <c r="O10" s="12"/>
    </row>
    <row r="11" spans="2:15" ht="12" customHeight="1" hidden="1" outlineLevel="1">
      <c r="B11" s="56" t="s">
        <v>12</v>
      </c>
      <c r="E11" s="20">
        <f>J_600_11</f>
        <v>111</v>
      </c>
      <c r="F11" s="20">
        <f>J_600_M</f>
        <v>2.4</v>
      </c>
      <c r="G11" s="19"/>
      <c r="H11" s="23"/>
      <c r="I11" s="110"/>
      <c r="J11" s="111"/>
      <c r="K11" s="112"/>
      <c r="L11" s="17"/>
      <c r="M11" s="18"/>
      <c r="N11" s="11"/>
      <c r="O11" s="12"/>
    </row>
    <row r="12" spans="2:15" ht="12" customHeight="1" hidden="1" outlineLevel="1">
      <c r="B12" s="14" t="s">
        <v>13</v>
      </c>
      <c r="E12" s="20">
        <f>J_800_11</f>
        <v>155</v>
      </c>
      <c r="F12" s="20">
        <f>J_800_M</f>
        <v>1.5</v>
      </c>
      <c r="G12" s="19"/>
      <c r="H12" s="21"/>
      <c r="I12" s="110"/>
      <c r="J12" s="111"/>
      <c r="K12" s="114"/>
      <c r="L12" s="17"/>
      <c r="M12" s="18"/>
      <c r="N12" s="11"/>
      <c r="O12" s="12"/>
    </row>
    <row r="13" spans="2:15" ht="12" customHeight="1" hidden="1" outlineLevel="1">
      <c r="B13" s="4" t="s">
        <v>14</v>
      </c>
      <c r="E13" s="20"/>
      <c r="F13" s="20"/>
      <c r="G13" s="19"/>
      <c r="H13" s="23"/>
      <c r="I13" s="110"/>
      <c r="J13" s="111"/>
      <c r="K13" s="112"/>
      <c r="L13" s="17"/>
      <c r="M13" s="18"/>
      <c r="N13" s="11"/>
      <c r="O13" s="12"/>
    </row>
    <row r="14" spans="2:15" ht="12" customHeight="1" hidden="1" outlineLevel="1">
      <c r="B14" s="14" t="s">
        <v>9</v>
      </c>
      <c r="E14" s="20">
        <f>J_60_12</f>
        <v>8.55</v>
      </c>
      <c r="F14" s="20">
        <f>J_600_M</f>
        <v>2.4</v>
      </c>
      <c r="G14" s="19"/>
      <c r="H14" s="23"/>
      <c r="I14" s="110"/>
      <c r="J14" s="111"/>
      <c r="K14" s="112"/>
      <c r="L14" s="17"/>
      <c r="M14" s="18"/>
      <c r="N14" s="11"/>
      <c r="O14" s="12"/>
    </row>
    <row r="15" spans="2:15" ht="12" customHeight="1" hidden="1" outlineLevel="1">
      <c r="B15" s="14" t="s">
        <v>10</v>
      </c>
      <c r="E15" s="19">
        <f>J_L_12</f>
        <v>4.7</v>
      </c>
      <c r="F15" s="20">
        <f>J_800_M</f>
        <v>1.5</v>
      </c>
      <c r="G15" s="19"/>
      <c r="H15" s="23"/>
      <c r="I15" s="110"/>
      <c r="J15" s="111"/>
      <c r="K15" s="112"/>
      <c r="L15" s="17"/>
      <c r="M15" s="18"/>
      <c r="N15" s="11"/>
      <c r="O15" s="12"/>
    </row>
    <row r="16" spans="2:15" ht="12" customHeight="1" hidden="1" outlineLevel="1">
      <c r="B16" s="56" t="s">
        <v>11</v>
      </c>
      <c r="E16" s="19">
        <f>J_B1_12</f>
        <v>49</v>
      </c>
      <c r="F16" s="20"/>
      <c r="G16" s="19">
        <f>J_B2_12</f>
        <v>39.2</v>
      </c>
      <c r="H16" s="23">
        <v>804</v>
      </c>
      <c r="I16" s="110">
        <f>J_opp</f>
        <v>0.2</v>
      </c>
      <c r="J16" s="111">
        <f>J_ned</f>
        <v>0.4</v>
      </c>
      <c r="K16" s="112">
        <f>J_pluss</f>
        <v>0.1</v>
      </c>
      <c r="L16" s="17"/>
      <c r="M16" s="18"/>
      <c r="N16" s="11"/>
      <c r="O16" s="12"/>
    </row>
    <row r="17" spans="2:15" ht="12" customHeight="1" hidden="1" outlineLevel="1">
      <c r="B17" s="56" t="s">
        <v>12</v>
      </c>
      <c r="E17" s="20">
        <f>J_600_12</f>
        <v>106</v>
      </c>
      <c r="F17" s="20">
        <f>G_600_M</f>
        <v>2.7</v>
      </c>
      <c r="G17" s="19"/>
      <c r="H17" s="23"/>
      <c r="I17" s="21"/>
      <c r="J17" s="22"/>
      <c r="K17" s="24"/>
      <c r="L17" s="17"/>
      <c r="M17" s="18"/>
      <c r="N17" s="11"/>
      <c r="O17" s="12"/>
    </row>
    <row r="18" spans="2:15" ht="12" customHeight="1" hidden="1" outlineLevel="1">
      <c r="B18" s="14" t="s">
        <v>13</v>
      </c>
      <c r="E18" s="20">
        <f>J_800_12</f>
        <v>148</v>
      </c>
      <c r="F18" s="20">
        <f>G_800_M</f>
        <v>1.8</v>
      </c>
      <c r="G18" s="19"/>
      <c r="H18" s="23"/>
      <c r="I18" s="21"/>
      <c r="J18" s="22"/>
      <c r="K18" s="24"/>
      <c r="L18" s="17"/>
      <c r="M18" s="18"/>
      <c r="N18" s="11"/>
      <c r="O18" s="12"/>
    </row>
    <row r="19" ht="28.5" customHeight="1" collapsed="1">
      <c r="A19" s="25" t="s">
        <v>105</v>
      </c>
    </row>
    <row r="20" ht="28.5" customHeight="1" outlineLevel="1">
      <c r="A20" s="25" t="s">
        <v>0</v>
      </c>
    </row>
    <row r="21" spans="1:14" ht="19.5">
      <c r="A21" s="28"/>
      <c r="D21" s="29" t="s">
        <v>18</v>
      </c>
      <c r="E21" s="30"/>
      <c r="F21" s="29" t="s">
        <v>10</v>
      </c>
      <c r="G21" s="30"/>
      <c r="H21" s="29" t="s">
        <v>19</v>
      </c>
      <c r="I21" s="30"/>
      <c r="J21" s="31" t="s">
        <v>20</v>
      </c>
      <c r="K21" s="32" t="s">
        <v>12</v>
      </c>
      <c r="L21" s="33" t="s">
        <v>17</v>
      </c>
      <c r="M21" s="34"/>
      <c r="N21" s="35" t="s">
        <v>37</v>
      </c>
    </row>
    <row r="22" spans="1:14" s="4" customFormat="1" ht="12.75" hidden="1" outlineLevel="1">
      <c r="A22" s="1" t="s">
        <v>21</v>
      </c>
      <c r="B22" s="4" t="s">
        <v>22</v>
      </c>
      <c r="C22" s="4" t="s">
        <v>23</v>
      </c>
      <c r="D22" s="5"/>
      <c r="E22" s="1"/>
      <c r="F22" s="5"/>
      <c r="G22" s="1"/>
      <c r="H22" s="36"/>
      <c r="J22" s="26"/>
      <c r="K22" s="17"/>
      <c r="L22" s="10"/>
      <c r="M22" s="37"/>
      <c r="N22" s="27"/>
    </row>
    <row r="23" spans="1:14" ht="24.75" customHeight="1" collapsed="1">
      <c r="A23" s="57"/>
      <c r="B23" s="57" t="s">
        <v>71</v>
      </c>
      <c r="C23" s="47"/>
      <c r="D23" s="49"/>
      <c r="E23" s="48"/>
      <c r="F23" s="49"/>
      <c r="H23" s="50"/>
      <c r="J23" s="51"/>
      <c r="K23" s="52"/>
      <c r="L23" s="3"/>
      <c r="M23" s="53"/>
      <c r="N23" s="54"/>
    </row>
    <row r="24" spans="1:15" s="56" customFormat="1" ht="12" customHeight="1">
      <c r="A24" s="76">
        <v>1</v>
      </c>
      <c r="B24" s="56" t="s">
        <v>100</v>
      </c>
      <c r="C24" s="78" t="s">
        <v>101</v>
      </c>
      <c r="D24" s="21">
        <v>9.86</v>
      </c>
      <c r="E24" s="48">
        <f>IF(D24=0,0,MAX(0,1000+10*(J_60_10-D24)*J_60_M))</f>
        <v>835.3000000000002</v>
      </c>
      <c r="F24" s="49">
        <v>3.75</v>
      </c>
      <c r="G24" s="1">
        <f>IF(F24=0,0,MAX(0,TRUNC(1000+100*(F24-J_L_10)*J_L_M)))</f>
        <v>940</v>
      </c>
      <c r="H24" s="50">
        <v>32.03</v>
      </c>
      <c r="I24" s="4">
        <f>IF(H24=0,0,IF(H24&gt;=J_B1_10,TRUNC(1000+(H24-J_B1_10)*100*J_pluss),IF(H24&gt;=J_B2_10,TRUNC(J_80P_10+(H24-J_B2_10)*100*J_opp),TRUNC(J_80P_10-(J_B2_10-H24)*100*J_ned))))</f>
        <v>880</v>
      </c>
      <c r="J24" s="51">
        <f>SUM(E24,G24,I24)</f>
        <v>2655.3</v>
      </c>
      <c r="K24" s="55" t="s">
        <v>164</v>
      </c>
      <c r="L24" s="3">
        <v>130.4</v>
      </c>
      <c r="M24" s="53">
        <f>IF(L24=0,0,MAX(0,1000+10*(J_600_10-L24)*J_600_M))</f>
        <v>702.3999999999999</v>
      </c>
      <c r="N24" s="54">
        <f>SUM(E24,G24,I24,M24)</f>
        <v>3357.7</v>
      </c>
      <c r="O24" s="14"/>
    </row>
    <row r="25" spans="1:15" s="56" customFormat="1" ht="12" customHeight="1">
      <c r="A25" s="76">
        <v>2</v>
      </c>
      <c r="B25" s="56" t="s">
        <v>160</v>
      </c>
      <c r="C25" s="78" t="s">
        <v>98</v>
      </c>
      <c r="D25" s="16">
        <v>12.03</v>
      </c>
      <c r="E25" s="48">
        <f>IF(D25=0,0,MAX(0,1000+10*(J_60_10-D25)*J_60_M))</f>
        <v>249.4000000000002</v>
      </c>
      <c r="F25" s="49">
        <v>2.76</v>
      </c>
      <c r="G25" s="1">
        <f>IF(F25=0,0,MAX(0,TRUNC(1000+100*(F25-J_L_10)*J_L_M)))</f>
        <v>702</v>
      </c>
      <c r="H25" s="50">
        <v>14.2</v>
      </c>
      <c r="I25" s="4">
        <f>IF(H25=0,0,IF(H25&gt;=J_B1_10,TRUNC(1000+(H25-J_B1_10)*100*J_pluss),IF(H25&gt;=J_B2_10,TRUNC(J_80P_10+(H25-J_B2_10)*100*J_opp),TRUNC(J_80P_10-(J_B2_10-H25)*100*J_ned))))</f>
        <v>200</v>
      </c>
      <c r="J25" s="51">
        <f>SUM(E25,G25,I25)</f>
        <v>1151.4</v>
      </c>
      <c r="K25" s="55" t="s">
        <v>165</v>
      </c>
      <c r="L25" s="3">
        <v>174</v>
      </c>
      <c r="M25" s="53">
        <f>IF(L25=0,0,MAX(0,1000+10*(J_600_10-L25)*J_600_M))</f>
        <v>0</v>
      </c>
      <c r="N25" s="54">
        <f>SUM(E25,G25,I25,M25)</f>
        <v>1151.4</v>
      </c>
      <c r="O25" s="14"/>
    </row>
    <row r="26" spans="1:15" s="56" customFormat="1" ht="12" customHeight="1">
      <c r="A26" s="76">
        <v>3</v>
      </c>
      <c r="B26" s="56" t="s">
        <v>99</v>
      </c>
      <c r="C26" s="78" t="s">
        <v>98</v>
      </c>
      <c r="D26" s="16">
        <v>12.59</v>
      </c>
      <c r="E26" s="48">
        <f>IF(D26=0,0,MAX(0,1000+10*(J_60_10-D26)*J_60_M))</f>
        <v>98.20000000000005</v>
      </c>
      <c r="F26" s="49">
        <v>2.76</v>
      </c>
      <c r="G26" s="1">
        <f>IF(F26=0,0,MAX(0,TRUNC(1000+100*(F26-J_L_10)*J_L_M)))</f>
        <v>702</v>
      </c>
      <c r="H26" s="50">
        <v>14.51</v>
      </c>
      <c r="I26" s="4">
        <f>IF(H26=0,0,IF(H26&gt;=J_B1_10,TRUNC(1000+(H26-J_B1_10)*100*J_pluss),IF(H26&gt;=J_B2_10,TRUNC(J_80P_10+(H26-J_B2_10)*100*J_opp),TRUNC(J_80P_10-(J_B2_10-H26)*100*J_ned))))</f>
        <v>212</v>
      </c>
      <c r="J26" s="51">
        <f>SUM(E26,G26,I26)</f>
        <v>1012.2</v>
      </c>
      <c r="K26" s="55" t="s">
        <v>166</v>
      </c>
      <c r="L26" s="3">
        <v>183</v>
      </c>
      <c r="M26" s="53">
        <f>IF(L26=0,0,MAX(0,1000+10*(J_600_10-L26)*J_600_M))</f>
        <v>0</v>
      </c>
      <c r="N26" s="54">
        <f>SUM(E26,G26,I26,M26)</f>
        <v>1012.2</v>
      </c>
      <c r="O26" s="14"/>
    </row>
    <row r="27" spans="1:14" s="4" customFormat="1" ht="25.5" customHeight="1">
      <c r="A27" s="38"/>
      <c r="B27" s="38" t="s">
        <v>72</v>
      </c>
      <c r="C27" s="37"/>
      <c r="D27" s="39"/>
      <c r="E27" s="38"/>
      <c r="F27" s="39"/>
      <c r="G27" s="89"/>
      <c r="H27" s="67" t="s">
        <v>19</v>
      </c>
      <c r="I27" s="37"/>
      <c r="J27" s="41"/>
      <c r="K27" s="42"/>
      <c r="L27" s="43"/>
      <c r="M27" s="37"/>
      <c r="N27" s="44"/>
    </row>
    <row r="28" spans="1:14" ht="12" customHeight="1">
      <c r="A28" s="76">
        <v>1</v>
      </c>
      <c r="B28" s="45" t="s">
        <v>118</v>
      </c>
      <c r="C28" s="56" t="s">
        <v>82</v>
      </c>
      <c r="D28" s="49">
        <v>9.55</v>
      </c>
      <c r="E28" s="48">
        <f aca="true" t="shared" si="0" ref="E28:E35">IF(D28=0,0,MAX(0,1000+10*(J_60_11-D28)*J_60_M))</f>
        <v>797.5</v>
      </c>
      <c r="F28" s="49">
        <v>3.82</v>
      </c>
      <c r="G28" s="1">
        <f aca="true" t="shared" si="1" ref="G28:G35">IF(F28=0,0,MAX(0,TRUNC(1000+100*(F28-J_L_11)*J_L_M)))</f>
        <v>860</v>
      </c>
      <c r="H28" s="50">
        <v>34.65</v>
      </c>
      <c r="I28" s="4">
        <f>IF(H28=0,0,IF(H28&gt;=J_B1_11,TRUNC(1000+(H28-J_B1_11)*100*J_pluss),IF(H28&gt;=J_B2_11,TRUNC(J_80P_11+(H28-J_B2_11)*100*J_opp),TRUNC(J_80P_11-(J_B2_11-H28)*100*J_ned))))</f>
        <v>802</v>
      </c>
      <c r="J28" s="51">
        <f aca="true" t="shared" si="2" ref="J28:J35">SUM(E28,G28,I28)</f>
        <v>2459.5</v>
      </c>
      <c r="K28" s="52" t="s">
        <v>167</v>
      </c>
      <c r="L28" s="3">
        <v>123.1</v>
      </c>
      <c r="M28" s="53">
        <f aca="true" t="shared" si="3" ref="M28:M34">IF(L28=0,0,MAX(0,1000+10*(J_600_11-L28)*J_600_M))</f>
        <v>709.6000000000001</v>
      </c>
      <c r="N28" s="54">
        <f aca="true" t="shared" si="4" ref="N28:N33">SUM(E28,G28,I28,M28)</f>
        <v>3169.1000000000004</v>
      </c>
    </row>
    <row r="29" spans="1:14" ht="12" customHeight="1">
      <c r="A29" s="76">
        <v>2</v>
      </c>
      <c r="B29" s="45" t="s">
        <v>161</v>
      </c>
      <c r="C29" s="56" t="s">
        <v>57</v>
      </c>
      <c r="D29" s="49">
        <v>9.57</v>
      </c>
      <c r="E29" s="48">
        <f t="shared" si="0"/>
        <v>792.1000000000001</v>
      </c>
      <c r="F29" s="49">
        <v>4.06</v>
      </c>
      <c r="G29" s="1">
        <f t="shared" si="1"/>
        <v>918</v>
      </c>
      <c r="H29" s="50">
        <v>28.87</v>
      </c>
      <c r="I29" s="4">
        <f>IF(H29=0,0,IF(H29&gt;=J_B1_11,TRUNC(1000+(H29-J_B1_11)*100*J_pluss),IF(H29&gt;=J_B2_11,TRUNC(J_80P_11+(H29-J_B2_11)*100*J_opp),TRUNC(J_80P_11-(J_B2_11-H29)*100*J_ned))))</f>
        <v>570</v>
      </c>
      <c r="J29" s="51">
        <f t="shared" si="2"/>
        <v>2280.1000000000004</v>
      </c>
      <c r="K29" s="52" t="s">
        <v>169</v>
      </c>
      <c r="L29" s="3">
        <v>125.9</v>
      </c>
      <c r="M29" s="53">
        <f t="shared" si="3"/>
        <v>642.3999999999999</v>
      </c>
      <c r="N29" s="54">
        <f t="shared" si="4"/>
        <v>2922.5</v>
      </c>
    </row>
    <row r="30" spans="1:14" ht="12" customHeight="1">
      <c r="A30" s="76">
        <v>3</v>
      </c>
      <c r="B30" s="56" t="s">
        <v>111</v>
      </c>
      <c r="C30" s="56" t="s">
        <v>1</v>
      </c>
      <c r="D30" s="49">
        <v>9.89</v>
      </c>
      <c r="E30" s="48">
        <f t="shared" si="0"/>
        <v>705.7</v>
      </c>
      <c r="F30" s="49">
        <v>3.64</v>
      </c>
      <c r="G30" s="1">
        <f t="shared" si="1"/>
        <v>817</v>
      </c>
      <c r="H30" s="50">
        <v>33.9</v>
      </c>
      <c r="I30" s="4">
        <f>IF(H30=0,0,IF(H30&gt;=J_B1_11,TRUNC(1000+(H30-J_B1_11)*100*J_pluss),IF(H30&gt;=J_B2_11,TRUNC(J_80P_11+(H30-J_B2_11)*100*J_opp),TRUNC(J_80P_11-(J_B2_11-H30)*100*J_ned))))</f>
        <v>772</v>
      </c>
      <c r="J30" s="51">
        <f t="shared" si="2"/>
        <v>2294.7</v>
      </c>
      <c r="K30" s="52" t="s">
        <v>170</v>
      </c>
      <c r="L30" s="3">
        <v>131.2</v>
      </c>
      <c r="M30" s="53">
        <f t="shared" si="3"/>
        <v>515.2000000000003</v>
      </c>
      <c r="N30" s="54">
        <f t="shared" si="4"/>
        <v>2809.9</v>
      </c>
    </row>
    <row r="31" spans="1:14" ht="12" customHeight="1">
      <c r="A31" s="76">
        <v>4</v>
      </c>
      <c r="B31" s="20" t="s">
        <v>102</v>
      </c>
      <c r="C31" s="78" t="s">
        <v>57</v>
      </c>
      <c r="D31" s="49">
        <v>10.21</v>
      </c>
      <c r="E31" s="48">
        <f t="shared" si="0"/>
        <v>619.3</v>
      </c>
      <c r="F31" s="49">
        <v>3.5</v>
      </c>
      <c r="G31" s="1">
        <f t="shared" si="1"/>
        <v>784</v>
      </c>
      <c r="H31" s="50">
        <v>13.62</v>
      </c>
      <c r="I31" s="4">
        <v>0</v>
      </c>
      <c r="J31" s="51">
        <f t="shared" si="2"/>
        <v>1403.3</v>
      </c>
      <c r="K31" s="52" t="s">
        <v>168</v>
      </c>
      <c r="L31" s="3">
        <v>123.6</v>
      </c>
      <c r="M31" s="53">
        <f t="shared" si="3"/>
        <v>697.6000000000001</v>
      </c>
      <c r="N31" s="54">
        <f t="shared" si="4"/>
        <v>2100.9</v>
      </c>
    </row>
    <row r="32" spans="1:14" ht="12" customHeight="1">
      <c r="A32" s="76">
        <v>5</v>
      </c>
      <c r="B32" s="20" t="s">
        <v>107</v>
      </c>
      <c r="C32" s="78" t="s">
        <v>65</v>
      </c>
      <c r="D32" s="49">
        <v>10.89</v>
      </c>
      <c r="E32" s="48">
        <f t="shared" si="0"/>
        <v>435.70000000000005</v>
      </c>
      <c r="F32" s="49">
        <v>3.28</v>
      </c>
      <c r="G32" s="1">
        <f t="shared" si="1"/>
        <v>731</v>
      </c>
      <c r="H32" s="50">
        <v>13.13</v>
      </c>
      <c r="I32" s="4">
        <v>0</v>
      </c>
      <c r="J32" s="51">
        <f t="shared" si="2"/>
        <v>1166.7</v>
      </c>
      <c r="K32" s="52" t="s">
        <v>172</v>
      </c>
      <c r="L32" s="3">
        <v>143.2</v>
      </c>
      <c r="M32" s="53">
        <f t="shared" si="3"/>
        <v>227.20000000000027</v>
      </c>
      <c r="N32" s="54">
        <f t="shared" si="4"/>
        <v>1393.9000000000003</v>
      </c>
    </row>
    <row r="33" spans="1:14" ht="12" customHeight="1">
      <c r="A33" s="76">
        <v>6</v>
      </c>
      <c r="B33" s="20" t="s">
        <v>91</v>
      </c>
      <c r="C33" s="78" t="s">
        <v>65</v>
      </c>
      <c r="D33" s="49">
        <v>10.87</v>
      </c>
      <c r="E33" s="48">
        <f t="shared" si="0"/>
        <v>441.10000000000036</v>
      </c>
      <c r="F33" s="49">
        <v>3.09</v>
      </c>
      <c r="G33" s="1">
        <f t="shared" si="1"/>
        <v>685</v>
      </c>
      <c r="H33" s="50">
        <v>11.24</v>
      </c>
      <c r="I33" s="4">
        <v>0</v>
      </c>
      <c r="J33" s="51">
        <f t="shared" si="2"/>
        <v>1126.1000000000004</v>
      </c>
      <c r="K33" s="52" t="s">
        <v>171</v>
      </c>
      <c r="L33" s="3">
        <v>144.5</v>
      </c>
      <c r="M33" s="53">
        <f t="shared" si="3"/>
        <v>196</v>
      </c>
      <c r="N33" s="54">
        <f t="shared" si="4"/>
        <v>1322.1000000000004</v>
      </c>
    </row>
    <row r="34" spans="1:14" ht="12" customHeight="1">
      <c r="A34" s="76"/>
      <c r="B34" s="45" t="s">
        <v>112</v>
      </c>
      <c r="C34" s="56" t="s">
        <v>1</v>
      </c>
      <c r="D34" s="49">
        <v>10.24</v>
      </c>
      <c r="E34" s="48">
        <f t="shared" si="0"/>
        <v>611.2000000000002</v>
      </c>
      <c r="F34" s="49">
        <v>3.4</v>
      </c>
      <c r="G34" s="1">
        <f t="shared" si="1"/>
        <v>760</v>
      </c>
      <c r="H34" s="50">
        <v>25.28</v>
      </c>
      <c r="I34" s="4">
        <f>IF(H34=0,0,IF(H34&gt;=J_B1_11,TRUNC(1000+(H34-J_B1_11)*100*J_pluss),IF(H34&gt;=J_B2_11,TRUNC(J_80P_11+(H34-J_B2_11)*100*J_opp),TRUNC(J_80P_11-(J_B2_11-H34)*100*J_ned))))</f>
        <v>427</v>
      </c>
      <c r="J34" s="51">
        <f t="shared" si="2"/>
        <v>1798.2000000000003</v>
      </c>
      <c r="K34" s="52" t="s">
        <v>122</v>
      </c>
      <c r="L34" s="3"/>
      <c r="M34" s="53">
        <f t="shared" si="3"/>
        <v>0</v>
      </c>
      <c r="N34" s="100" t="s">
        <v>123</v>
      </c>
    </row>
    <row r="35" spans="1:14" ht="12" customHeight="1">
      <c r="A35" s="76"/>
      <c r="B35" s="78" t="s">
        <v>90</v>
      </c>
      <c r="C35" s="78" t="s">
        <v>65</v>
      </c>
      <c r="D35" s="49">
        <v>10.55</v>
      </c>
      <c r="E35" s="48">
        <f t="shared" si="0"/>
        <v>527.5</v>
      </c>
      <c r="F35" s="49">
        <v>3.4</v>
      </c>
      <c r="G35" s="1">
        <f t="shared" si="1"/>
        <v>760</v>
      </c>
      <c r="H35" s="82" t="s">
        <v>122</v>
      </c>
      <c r="J35" s="51">
        <f t="shared" si="2"/>
        <v>1287.5</v>
      </c>
      <c r="K35" s="52"/>
      <c r="L35" s="3"/>
      <c r="M35" s="53"/>
      <c r="N35" s="100" t="s">
        <v>123</v>
      </c>
    </row>
    <row r="36" spans="1:14" s="4" customFormat="1" ht="24.75" customHeight="1">
      <c r="A36" s="57"/>
      <c r="B36" s="57" t="s">
        <v>73</v>
      </c>
      <c r="C36" s="58"/>
      <c r="D36" s="60"/>
      <c r="E36" s="59"/>
      <c r="F36" s="60"/>
      <c r="G36" s="38"/>
      <c r="H36" s="88" t="s">
        <v>19</v>
      </c>
      <c r="I36" s="37"/>
      <c r="J36" s="61"/>
      <c r="K36" s="62"/>
      <c r="L36" s="63"/>
      <c r="M36" s="53"/>
      <c r="N36" s="44"/>
    </row>
    <row r="37" spans="1:14" ht="12" customHeight="1">
      <c r="A37" s="76">
        <v>1</v>
      </c>
      <c r="B37" s="20" t="s">
        <v>81</v>
      </c>
      <c r="C37" s="56" t="s">
        <v>82</v>
      </c>
      <c r="D37" s="49">
        <v>9.7</v>
      </c>
      <c r="E37" s="48">
        <f aca="true" t="shared" si="5" ref="E37:E42">IF(D37=0,0,MAX(0,1000+10*(J_60_12-D37)*J_60_M))</f>
        <v>689.5000000000005</v>
      </c>
      <c r="F37" s="49">
        <v>3.74</v>
      </c>
      <c r="G37" s="1">
        <f aca="true" t="shared" si="6" ref="G37:G42">IF(F37=0,0,MAX(0,TRUNC(1000+100*(F37-J_L_12)*J_L_M)))</f>
        <v>769</v>
      </c>
      <c r="H37" s="50">
        <v>37.95</v>
      </c>
      <c r="I37" s="4">
        <f>IF(H37=0,0,IF(H37&gt;=J_B1_12,TRUNC(1000+(H37-J_B1_12)*100*J_pluss),IF(H37&gt;=J_B2_12,TRUNC(J_80P_12+(H37-J_B2_12)*100*J_opp),TRUNC(J_80P_12-(J_B2_12-H37)*100*J_ned))))</f>
        <v>762</v>
      </c>
      <c r="J37" s="51">
        <f aca="true" t="shared" si="7" ref="J37:J42">SUM(E37,G37,I37)</f>
        <v>2220.5000000000005</v>
      </c>
      <c r="K37" s="52" t="s">
        <v>174</v>
      </c>
      <c r="L37" s="3">
        <v>119.2</v>
      </c>
      <c r="M37" s="53">
        <f aca="true" t="shared" si="8" ref="M37:M42">IF(L37=0,0,MAX(0,1000+10*(J_600_12-L37)*J_600_M))</f>
        <v>683.1999999999999</v>
      </c>
      <c r="N37" s="54">
        <f aca="true" t="shared" si="9" ref="N37:N42">SUM(E37,G37,I37,M37)</f>
        <v>2903.7000000000003</v>
      </c>
    </row>
    <row r="38" spans="1:14" ht="12" customHeight="1">
      <c r="A38" s="76">
        <v>2</v>
      </c>
      <c r="B38" s="78" t="s">
        <v>61</v>
      </c>
      <c r="C38" s="78" t="s">
        <v>52</v>
      </c>
      <c r="D38" s="49">
        <v>10.29</v>
      </c>
      <c r="E38" s="48">
        <f t="shared" si="5"/>
        <v>530.2000000000005</v>
      </c>
      <c r="F38" s="49">
        <v>3.71</v>
      </c>
      <c r="G38" s="1">
        <f t="shared" si="6"/>
        <v>762</v>
      </c>
      <c r="H38" s="50">
        <v>40.83</v>
      </c>
      <c r="I38" s="4">
        <f>IF(H38=0,0,IF(H38&gt;=J_B1_12,TRUNC(1000+(H38-J_B1_12)*100*J_pluss),IF(H38&gt;=J_B2_12,TRUNC(J_80P_12+(H38-J_B2_12)*100*J_opp),TRUNC(J_80P_12-(J_B2_12-H38)*100*J_ned))))</f>
        <v>844</v>
      </c>
      <c r="J38" s="51">
        <f t="shared" si="7"/>
        <v>2136.2000000000007</v>
      </c>
      <c r="K38" s="52" t="s">
        <v>178</v>
      </c>
      <c r="L38" s="3">
        <v>133.7</v>
      </c>
      <c r="M38" s="53">
        <f t="shared" si="8"/>
        <v>335.2000000000003</v>
      </c>
      <c r="N38" s="54">
        <f t="shared" si="9"/>
        <v>2471.400000000001</v>
      </c>
    </row>
    <row r="39" spans="1:14" ht="12" customHeight="1">
      <c r="A39" s="76">
        <v>3</v>
      </c>
      <c r="B39" s="20" t="s">
        <v>163</v>
      </c>
      <c r="C39" s="56" t="s">
        <v>57</v>
      </c>
      <c r="D39" s="49">
        <v>9.36</v>
      </c>
      <c r="E39" s="48">
        <f t="shared" si="5"/>
        <v>781.3000000000004</v>
      </c>
      <c r="F39" s="49">
        <v>4.25</v>
      </c>
      <c r="G39" s="1">
        <f t="shared" si="6"/>
        <v>892</v>
      </c>
      <c r="H39" s="50">
        <v>25.34</v>
      </c>
      <c r="I39" s="4">
        <f>IF(H39=0,0,IF(H39&gt;=J_B1_12,TRUNC(1000+(H39-J_B1_12)*100*J_pluss),IF(H39&gt;=J_B2_12,TRUNC(J_80P_12+(H39-J_B2_12)*100*J_opp),TRUNC(J_80P_12-(J_B2_12-H39)*100*J_ned))))</f>
        <v>257</v>
      </c>
      <c r="J39" s="51">
        <f t="shared" si="7"/>
        <v>1930.3000000000004</v>
      </c>
      <c r="K39" s="52" t="s">
        <v>177</v>
      </c>
      <c r="L39" s="3">
        <v>133.1</v>
      </c>
      <c r="M39" s="53">
        <f t="shared" si="8"/>
        <v>349.60000000000014</v>
      </c>
      <c r="N39" s="54">
        <f t="shared" si="9"/>
        <v>2279.9000000000005</v>
      </c>
    </row>
    <row r="40" spans="1:14" ht="12" customHeight="1">
      <c r="A40" s="76">
        <v>4</v>
      </c>
      <c r="B40" s="20" t="s">
        <v>103</v>
      </c>
      <c r="C40" s="78" t="s">
        <v>57</v>
      </c>
      <c r="D40" s="49">
        <v>9.49</v>
      </c>
      <c r="E40" s="48">
        <f t="shared" si="5"/>
        <v>746.2000000000002</v>
      </c>
      <c r="F40" s="49">
        <v>3.61</v>
      </c>
      <c r="G40" s="1">
        <f t="shared" si="6"/>
        <v>738</v>
      </c>
      <c r="H40" s="50">
        <v>20.4</v>
      </c>
      <c r="I40" s="4">
        <f>IF(H40=0,0,IF(H40&gt;=J_B1_12,TRUNC(1000+(H40-J_B1_12)*100*J_pluss),IF(H40&gt;=J_B2_12,TRUNC(J_80P_12+(H40-J_B2_12)*100*J_opp),TRUNC(J_80P_12-(J_B2_12-H40)*100*J_ned))))</f>
        <v>59</v>
      </c>
      <c r="J40" s="51">
        <f t="shared" si="7"/>
        <v>1543.2000000000003</v>
      </c>
      <c r="K40" s="52" t="s">
        <v>176</v>
      </c>
      <c r="L40" s="3">
        <v>121.2</v>
      </c>
      <c r="M40" s="53">
        <f t="shared" si="8"/>
        <v>635.1999999999999</v>
      </c>
      <c r="N40" s="54">
        <f t="shared" si="9"/>
        <v>2178.4</v>
      </c>
    </row>
    <row r="41" spans="1:16" ht="12" customHeight="1">
      <c r="A41" s="76">
        <v>5</v>
      </c>
      <c r="B41" s="20" t="s">
        <v>119</v>
      </c>
      <c r="C41" s="56" t="s">
        <v>82</v>
      </c>
      <c r="D41" s="49">
        <v>9.73</v>
      </c>
      <c r="E41" s="48">
        <f t="shared" si="5"/>
        <v>681.4000000000001</v>
      </c>
      <c r="F41" s="49">
        <v>3.67</v>
      </c>
      <c r="G41" s="1">
        <f t="shared" si="6"/>
        <v>752</v>
      </c>
      <c r="H41" s="50">
        <v>20.06</v>
      </c>
      <c r="I41" s="4">
        <f>IF(H41=0,0,IF(H41&gt;=J_B1_12,TRUNC(1000+(H41-J_B1_12)*100*J_pluss),IF(H41&gt;=J_B2_12,TRUNC(J_80P_12+(H41-J_B2_12)*100*J_opp),TRUNC(J_80P_12-(J_B2_12-H41)*100*J_ned))))</f>
        <v>46</v>
      </c>
      <c r="J41" s="51">
        <f t="shared" si="7"/>
        <v>1479.4</v>
      </c>
      <c r="K41" s="52" t="s">
        <v>173</v>
      </c>
      <c r="L41" s="3">
        <v>118.9</v>
      </c>
      <c r="M41" s="53">
        <f t="shared" si="8"/>
        <v>690.3999999999999</v>
      </c>
      <c r="N41" s="54">
        <f t="shared" si="9"/>
        <v>2169.8</v>
      </c>
      <c r="P41" s="56"/>
    </row>
    <row r="42" spans="1:14" ht="12" customHeight="1">
      <c r="A42" s="76">
        <v>6</v>
      </c>
      <c r="B42" s="56" t="s">
        <v>93</v>
      </c>
      <c r="C42" s="78" t="s">
        <v>65</v>
      </c>
      <c r="D42" s="49">
        <v>9.59</v>
      </c>
      <c r="E42" s="48">
        <f t="shared" si="5"/>
        <v>719.2000000000003</v>
      </c>
      <c r="F42" s="49">
        <v>3.74</v>
      </c>
      <c r="G42" s="1">
        <f t="shared" si="6"/>
        <v>769</v>
      </c>
      <c r="H42" s="50">
        <v>18.2</v>
      </c>
      <c r="I42" s="4">
        <v>0</v>
      </c>
      <c r="J42" s="51">
        <f t="shared" si="7"/>
        <v>1488.2000000000003</v>
      </c>
      <c r="K42" s="52" t="s">
        <v>175</v>
      </c>
      <c r="L42" s="3">
        <v>120.6</v>
      </c>
      <c r="M42" s="53">
        <f t="shared" si="8"/>
        <v>649.6000000000001</v>
      </c>
      <c r="N42" s="54">
        <f t="shared" si="9"/>
        <v>2137.8</v>
      </c>
    </row>
    <row r="43" spans="1:14" ht="12" customHeight="1">
      <c r="A43" s="76"/>
      <c r="B43" s="78"/>
      <c r="C43" s="56"/>
      <c r="D43" s="49"/>
      <c r="E43" s="48"/>
      <c r="F43" s="49"/>
      <c r="H43" s="50"/>
      <c r="K43" s="52"/>
      <c r="L43" s="3"/>
      <c r="M43" s="53"/>
      <c r="N43" s="54"/>
    </row>
    <row r="44" spans="1:14" ht="12" customHeight="1">
      <c r="A44" s="76">
        <f>COUNTA(A24:A43)</f>
        <v>15</v>
      </c>
      <c r="B44" s="79"/>
      <c r="C44" s="76">
        <f>COUNTA(C24:C43)</f>
        <v>17</v>
      </c>
      <c r="D44" s="49"/>
      <c r="E44" s="48"/>
      <c r="F44" s="65"/>
      <c r="H44" s="50"/>
      <c r="K44" s="55"/>
      <c r="L44" s="3"/>
      <c r="M44" s="53"/>
      <c r="N44" s="54"/>
    </row>
    <row r="45" spans="1:14" ht="24" customHeight="1" hidden="1" outlineLevel="1">
      <c r="A45" s="57" t="s">
        <v>24</v>
      </c>
      <c r="B45" s="46"/>
      <c r="C45" s="47"/>
      <c r="E45" s="48"/>
      <c r="F45" s="49"/>
      <c r="H45" s="50"/>
      <c r="K45" s="52"/>
      <c r="L45" s="3"/>
      <c r="M45" s="53"/>
      <c r="N45" s="54"/>
    </row>
    <row r="46" spans="1:14" s="66" customFormat="1" ht="20.25" customHeight="1" hidden="1" outlineLevel="1">
      <c r="A46" s="13" t="s">
        <v>25</v>
      </c>
      <c r="D46" s="15"/>
      <c r="E46" s="1"/>
      <c r="F46" s="15"/>
      <c r="G46" s="1"/>
      <c r="H46" s="67"/>
      <c r="I46" s="68"/>
      <c r="J46" s="69"/>
      <c r="K46" s="17"/>
      <c r="L46" s="70"/>
      <c r="M46" s="68"/>
      <c r="N46" s="71"/>
    </row>
    <row r="47" spans="1:14" s="66" customFormat="1" ht="17.25" customHeight="1" hidden="1" outlineLevel="1">
      <c r="A47" s="13" t="s">
        <v>26</v>
      </c>
      <c r="D47" s="15"/>
      <c r="E47" s="1"/>
      <c r="F47" s="15"/>
      <c r="G47" s="1"/>
      <c r="H47" s="67"/>
      <c r="I47" s="68"/>
      <c r="J47" s="69"/>
      <c r="K47" s="17"/>
      <c r="L47" s="70"/>
      <c r="M47" s="68"/>
      <c r="N47" s="71"/>
    </row>
    <row r="48" spans="1:14" s="66" customFormat="1" ht="19.5" customHeight="1" hidden="1" outlineLevel="1">
      <c r="A48" s="13" t="s">
        <v>27</v>
      </c>
      <c r="D48" s="15"/>
      <c r="E48" s="1"/>
      <c r="F48" s="15"/>
      <c r="G48" s="1"/>
      <c r="H48" s="67"/>
      <c r="I48" s="68"/>
      <c r="J48" s="69"/>
      <c r="K48" s="17"/>
      <c r="L48" s="70"/>
      <c r="M48" s="68"/>
      <c r="N48" s="71"/>
    </row>
    <row r="49" spans="1:14" s="66" customFormat="1" ht="12.75" hidden="1" outlineLevel="1">
      <c r="A49" s="13" t="s">
        <v>28</v>
      </c>
      <c r="D49" s="15"/>
      <c r="E49" s="1"/>
      <c r="F49" s="15"/>
      <c r="G49" s="1"/>
      <c r="H49" s="67"/>
      <c r="I49" s="68"/>
      <c r="J49" s="69"/>
      <c r="K49" s="17"/>
      <c r="L49" s="70"/>
      <c r="M49" s="68"/>
      <c r="N49" s="71"/>
    </row>
    <row r="50" ht="12.75" hidden="1" outlineLevel="1">
      <c r="A50" s="20" t="s">
        <v>38</v>
      </c>
    </row>
    <row r="51" ht="12.75" collapsed="1"/>
  </sheetData>
  <sheetProtection password="C67C"/>
  <printOptions horizontalCentered="1"/>
  <pageMargins left="0.5511811023622047" right="0.3937007874015748" top="0.2362204724409449" bottom="0.21" header="0.84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tabSelected="1" workbookViewId="0" topLeftCell="A34">
      <selection activeCell="E23" sqref="E23"/>
    </sheetView>
  </sheetViews>
  <sheetFormatPr defaultColWidth="11.421875" defaultRowHeight="12.75" outlineLevelRow="1" outlineLevelCol="2"/>
  <cols>
    <col min="1" max="1" width="4.7109375" style="13" customWidth="1"/>
    <col min="2" max="2" width="21.00390625" style="14" customWidth="1"/>
    <col min="3" max="3" width="20.00390625" style="14" customWidth="1"/>
    <col min="4" max="4" width="6.28125" style="15" customWidth="1"/>
    <col min="5" max="5" width="6.28125" style="1" customWidth="1"/>
    <col min="6" max="6" width="7.7109375" style="15" customWidth="1"/>
    <col min="7" max="7" width="6.421875" style="1" customWidth="1"/>
    <col min="8" max="8" width="7.421875" style="16" customWidth="1"/>
    <col min="9" max="9" width="6.57421875" style="4" customWidth="1"/>
    <col min="10" max="10" width="10.421875" style="95" hidden="1" customWidth="1" outlineLevel="2"/>
    <col min="11" max="11" width="7.140625" style="26" customWidth="1" outlineLevel="1" collapsed="1"/>
    <col min="12" max="12" width="6.421875" style="26" customWidth="1" outlineLevel="1"/>
    <col min="13" max="13" width="6.00390625" style="26" customWidth="1" outlineLevel="1"/>
    <col min="14" max="14" width="6.140625" style="26" customWidth="1" outlineLevel="1"/>
    <col min="15" max="15" width="7.421875" style="17" customWidth="1" outlineLevel="1"/>
    <col min="16" max="16" width="6.57421875" style="18" hidden="1" customWidth="1" outlineLevel="2"/>
    <col min="17" max="17" width="6.57421875" style="4" customWidth="1" outlineLevel="1" collapsed="1"/>
    <col min="18" max="18" width="9.140625" style="27" customWidth="1" outlineLevel="1"/>
    <col min="19" max="16384" width="9.140625" style="14" customWidth="1"/>
  </cols>
  <sheetData>
    <row r="1" spans="1:19" s="4" customFormat="1" ht="15.75" customHeight="1" hidden="1" outlineLevel="1">
      <c r="A1" s="1"/>
      <c r="B1" s="2" t="s">
        <v>44</v>
      </c>
      <c r="C1" s="3"/>
      <c r="D1" s="5"/>
      <c r="E1" s="1" t="s">
        <v>2</v>
      </c>
      <c r="F1" s="1" t="s">
        <v>3</v>
      </c>
      <c r="G1" s="6">
        <v>0.8</v>
      </c>
      <c r="H1" s="7" t="s">
        <v>4</v>
      </c>
      <c r="I1" s="8" t="s">
        <v>5</v>
      </c>
      <c r="J1" s="92" t="s">
        <v>6</v>
      </c>
      <c r="K1" s="8" t="s">
        <v>29</v>
      </c>
      <c r="M1" s="8"/>
      <c r="N1" s="8"/>
      <c r="P1" s="9"/>
      <c r="Q1" s="10"/>
      <c r="R1" s="11"/>
      <c r="S1" s="12"/>
    </row>
    <row r="2" spans="2:19" ht="12" customHeight="1" hidden="1" outlineLevel="1">
      <c r="B2" s="4" t="s">
        <v>30</v>
      </c>
      <c r="F2" s="1"/>
      <c r="G2" s="15"/>
      <c r="I2" s="16"/>
      <c r="J2" s="93"/>
      <c r="K2" s="11"/>
      <c r="M2" s="11"/>
      <c r="N2" s="11"/>
      <c r="O2" s="8"/>
      <c r="P2" s="17"/>
      <c r="Q2" s="18"/>
      <c r="R2" s="11"/>
      <c r="S2" s="12"/>
    </row>
    <row r="3" spans="2:19" ht="12" customHeight="1" hidden="1" outlineLevel="1">
      <c r="B3" s="56" t="s">
        <v>18</v>
      </c>
      <c r="E3" s="19">
        <f>J_60_13</f>
        <v>8.4</v>
      </c>
      <c r="F3" s="20">
        <f>J_60_M</f>
        <v>27</v>
      </c>
      <c r="G3" s="19"/>
      <c r="H3" s="21"/>
      <c r="I3" s="21"/>
      <c r="J3" s="94"/>
      <c r="K3" s="22"/>
      <c r="M3" s="22"/>
      <c r="N3" s="22"/>
      <c r="O3" s="8"/>
      <c r="P3" s="17"/>
      <c r="Q3" s="18"/>
      <c r="R3" s="11"/>
      <c r="S3" s="12"/>
    </row>
    <row r="4" spans="2:19" ht="12" customHeight="1" hidden="1" outlineLevel="1">
      <c r="B4" s="14" t="s">
        <v>10</v>
      </c>
      <c r="E4" s="19">
        <f>J_L_13</f>
        <v>5</v>
      </c>
      <c r="F4" s="20">
        <f>J_L_M</f>
        <v>2.4</v>
      </c>
      <c r="G4" s="19"/>
      <c r="H4" s="21"/>
      <c r="I4" s="21"/>
      <c r="J4" s="94"/>
      <c r="K4" s="22"/>
      <c r="M4" s="22"/>
      <c r="N4" s="22"/>
      <c r="O4" s="8"/>
      <c r="P4" s="17"/>
      <c r="Q4" s="18"/>
      <c r="R4" s="11"/>
      <c r="S4" s="12"/>
    </row>
    <row r="5" spans="2:19" ht="12" customHeight="1" hidden="1" outlineLevel="1">
      <c r="B5" s="56" t="s">
        <v>45</v>
      </c>
      <c r="E5" s="19">
        <f>j_K1_13</f>
        <v>11</v>
      </c>
      <c r="F5" s="20"/>
      <c r="G5" s="19">
        <f>j_K2_13</f>
        <v>8.8</v>
      </c>
      <c r="H5" s="23">
        <f>J_80K_13</f>
        <v>846</v>
      </c>
      <c r="I5" s="21">
        <f>j_Kopp</f>
        <v>0.7</v>
      </c>
      <c r="J5" s="94">
        <f>J_Kned</f>
        <v>1.4</v>
      </c>
      <c r="K5" s="24">
        <f>J_Kpluss</f>
        <v>0.35</v>
      </c>
      <c r="M5" s="22"/>
      <c r="N5" s="22"/>
      <c r="P5" s="17"/>
      <c r="Q5" s="18"/>
      <c r="R5" s="11"/>
      <c r="S5" s="12"/>
    </row>
    <row r="6" spans="2:19" ht="12" customHeight="1" hidden="1" outlineLevel="1">
      <c r="B6" s="56" t="s">
        <v>162</v>
      </c>
      <c r="E6" s="19">
        <f>J_HK_13</f>
        <v>10.1</v>
      </c>
      <c r="F6" s="20">
        <f>J_HK_M</f>
        <v>20</v>
      </c>
      <c r="G6" s="19"/>
      <c r="H6" s="21"/>
      <c r="I6" s="21"/>
      <c r="J6" s="94"/>
      <c r="K6" s="22"/>
      <c r="M6" s="22"/>
      <c r="N6" s="22"/>
      <c r="O6" s="8"/>
      <c r="P6" s="17"/>
      <c r="Q6" s="18"/>
      <c r="R6" s="11"/>
      <c r="S6" s="12"/>
    </row>
    <row r="7" spans="2:19" ht="12" customHeight="1" hidden="1" outlineLevel="1">
      <c r="B7" s="56" t="s">
        <v>32</v>
      </c>
      <c r="E7" s="19">
        <f>J_H_13</f>
        <v>1.5</v>
      </c>
      <c r="F7" s="20">
        <f>J_H_M</f>
        <v>8</v>
      </c>
      <c r="G7" s="19"/>
      <c r="H7" s="21"/>
      <c r="I7" s="21"/>
      <c r="J7" s="94"/>
      <c r="K7" s="22"/>
      <c r="M7" s="22"/>
      <c r="N7" s="22"/>
      <c r="O7" s="8"/>
      <c r="P7" s="17"/>
      <c r="Q7" s="18"/>
      <c r="R7" s="11"/>
      <c r="S7" s="12"/>
    </row>
    <row r="8" spans="2:19" ht="12" customHeight="1" hidden="1" outlineLevel="1">
      <c r="B8" s="75" t="s">
        <v>12</v>
      </c>
      <c r="E8" s="20">
        <f>J_600_13</f>
        <v>103.4</v>
      </c>
      <c r="F8" s="20">
        <f>J_600_M</f>
        <v>2.4</v>
      </c>
      <c r="G8" s="19"/>
      <c r="H8" s="21"/>
      <c r="I8" s="21"/>
      <c r="J8" s="94"/>
      <c r="K8" s="22"/>
      <c r="M8" s="22"/>
      <c r="N8" s="22"/>
      <c r="O8" s="8"/>
      <c r="P8" s="17"/>
      <c r="Q8" s="18"/>
      <c r="R8" s="11"/>
      <c r="S8" s="12"/>
    </row>
    <row r="9" spans="2:19" ht="12" customHeight="1" hidden="1" outlineLevel="1">
      <c r="B9" s="14" t="s">
        <v>13</v>
      </c>
      <c r="E9" s="20">
        <f>J_800_13</f>
        <v>143</v>
      </c>
      <c r="F9" s="20">
        <f>J_800_M</f>
        <v>1.5</v>
      </c>
      <c r="G9" s="19"/>
      <c r="H9" s="21"/>
      <c r="I9" s="21"/>
      <c r="J9" s="94"/>
      <c r="K9" s="22"/>
      <c r="M9" s="22"/>
      <c r="N9" s="22"/>
      <c r="O9" s="8"/>
      <c r="P9" s="17"/>
      <c r="Q9" s="18"/>
      <c r="R9" s="11"/>
      <c r="S9" s="12"/>
    </row>
    <row r="10" spans="2:19" ht="12" customHeight="1" hidden="1" outlineLevel="1">
      <c r="B10" s="4" t="s">
        <v>33</v>
      </c>
      <c r="E10" s="20"/>
      <c r="F10" s="20"/>
      <c r="G10" s="19"/>
      <c r="H10" s="23"/>
      <c r="I10" s="21"/>
      <c r="J10" s="94"/>
      <c r="K10" s="22"/>
      <c r="M10" s="22"/>
      <c r="N10" s="22"/>
      <c r="O10" s="24"/>
      <c r="P10" s="17"/>
      <c r="Q10" s="18"/>
      <c r="R10" s="11"/>
      <c r="S10" s="12"/>
    </row>
    <row r="11" spans="2:19" ht="12" customHeight="1" hidden="1" outlineLevel="1">
      <c r="B11" s="56" t="s">
        <v>18</v>
      </c>
      <c r="E11" s="20">
        <f>J_60_14</f>
        <v>8.25</v>
      </c>
      <c r="F11" s="20">
        <f>J_60_M</f>
        <v>27</v>
      </c>
      <c r="G11" s="19"/>
      <c r="H11" s="23"/>
      <c r="I11" s="21"/>
      <c r="J11" s="94"/>
      <c r="K11" s="22"/>
      <c r="M11" s="22"/>
      <c r="N11" s="22"/>
      <c r="O11" s="24"/>
      <c r="P11" s="17"/>
      <c r="Q11" s="18"/>
      <c r="R11" s="11"/>
      <c r="S11" s="12"/>
    </row>
    <row r="12" spans="2:19" ht="12" customHeight="1" hidden="1" outlineLevel="1">
      <c r="B12" s="14" t="s">
        <v>10</v>
      </c>
      <c r="E12" s="19">
        <f>J_L_14</f>
        <v>5.2</v>
      </c>
      <c r="F12" s="20">
        <f>J_L_M</f>
        <v>2.4</v>
      </c>
      <c r="G12" s="19"/>
      <c r="H12" s="23"/>
      <c r="I12" s="21"/>
      <c r="J12" s="94"/>
      <c r="K12" s="22"/>
      <c r="M12" s="22"/>
      <c r="N12" s="22"/>
      <c r="O12" s="24"/>
      <c r="P12" s="17"/>
      <c r="Q12" s="18"/>
      <c r="R12" s="11"/>
      <c r="S12" s="12"/>
    </row>
    <row r="13" spans="2:19" ht="12" customHeight="1" hidden="1" outlineLevel="1">
      <c r="B13" s="56" t="s">
        <v>31</v>
      </c>
      <c r="E13" s="19">
        <f>j_K1_14</f>
        <v>11</v>
      </c>
      <c r="F13" s="20"/>
      <c r="G13" s="19">
        <f>j_K2_14</f>
        <v>8.8</v>
      </c>
      <c r="H13" s="23">
        <f>J_80K_14</f>
        <v>846</v>
      </c>
      <c r="I13" s="21">
        <f>j_Kopp</f>
        <v>0.7</v>
      </c>
      <c r="J13" s="94">
        <f>J_Kned</f>
        <v>1.4</v>
      </c>
      <c r="K13" s="24">
        <f>J_Kpluss</f>
        <v>0.35</v>
      </c>
      <c r="M13" s="22"/>
      <c r="N13" s="22"/>
      <c r="P13" s="17"/>
      <c r="Q13" s="18"/>
      <c r="R13" s="11"/>
      <c r="S13" s="12"/>
    </row>
    <row r="14" spans="2:19" ht="12" customHeight="1" hidden="1" outlineLevel="1">
      <c r="B14" s="56" t="s">
        <v>49</v>
      </c>
      <c r="E14" s="19">
        <f>J_HK_14</f>
        <v>9.8</v>
      </c>
      <c r="F14" s="20">
        <f>J_HK_M</f>
        <v>20</v>
      </c>
      <c r="G14" s="19"/>
      <c r="H14" s="21"/>
      <c r="I14" s="21"/>
      <c r="J14" s="94"/>
      <c r="K14" s="22"/>
      <c r="M14" s="22"/>
      <c r="N14" s="22"/>
      <c r="O14" s="8"/>
      <c r="P14" s="17"/>
      <c r="Q14" s="18"/>
      <c r="R14" s="11"/>
      <c r="S14" s="12"/>
    </row>
    <row r="15" spans="2:19" ht="12" customHeight="1" hidden="1" outlineLevel="1">
      <c r="B15" s="56" t="s">
        <v>32</v>
      </c>
      <c r="E15" s="19">
        <f>J_H_14</f>
        <v>1.56</v>
      </c>
      <c r="F15" s="20">
        <f>J_H_M</f>
        <v>8</v>
      </c>
      <c r="G15" s="19"/>
      <c r="H15" s="21"/>
      <c r="I15" s="21"/>
      <c r="J15" s="94"/>
      <c r="K15" s="22"/>
      <c r="M15" s="22"/>
      <c r="N15" s="22"/>
      <c r="O15" s="8"/>
      <c r="P15" s="17"/>
      <c r="Q15" s="18"/>
      <c r="R15" s="11"/>
      <c r="S15" s="12"/>
    </row>
    <row r="16" spans="2:19" ht="12" customHeight="1" hidden="1" outlineLevel="1">
      <c r="B16" s="56" t="s">
        <v>12</v>
      </c>
      <c r="E16" s="20">
        <f>J_600_14</f>
        <v>101.6</v>
      </c>
      <c r="F16" s="20">
        <f>J_600_M</f>
        <v>2.4</v>
      </c>
      <c r="G16" s="19"/>
      <c r="H16" s="21"/>
      <c r="I16" s="21"/>
      <c r="J16" s="94"/>
      <c r="K16" s="22"/>
      <c r="M16" s="22"/>
      <c r="N16" s="22"/>
      <c r="O16" s="8"/>
      <c r="P16" s="17"/>
      <c r="Q16" s="18"/>
      <c r="R16" s="11"/>
      <c r="S16" s="12"/>
    </row>
    <row r="17" spans="2:19" ht="12" customHeight="1" hidden="1" outlineLevel="1">
      <c r="B17" s="14" t="s">
        <v>13</v>
      </c>
      <c r="E17" s="20">
        <f>J_800_14</f>
        <v>140</v>
      </c>
      <c r="F17" s="20">
        <f>J_800_M</f>
        <v>1.5</v>
      </c>
      <c r="G17" s="19"/>
      <c r="H17" s="23"/>
      <c r="I17" s="21"/>
      <c r="J17" s="94"/>
      <c r="K17" s="22"/>
      <c r="M17" s="22"/>
      <c r="N17" s="22"/>
      <c r="O17" s="24"/>
      <c r="P17" s="17"/>
      <c r="Q17" s="18"/>
      <c r="R17" s="11"/>
      <c r="S17" s="12"/>
    </row>
    <row r="18" spans="2:19" ht="12" customHeight="1" hidden="1" outlineLevel="1">
      <c r="B18" s="4" t="s">
        <v>34</v>
      </c>
      <c r="E18" s="20"/>
      <c r="F18" s="20"/>
      <c r="G18" s="19"/>
      <c r="H18" s="23"/>
      <c r="I18" s="21"/>
      <c r="J18" s="94"/>
      <c r="K18" s="22"/>
      <c r="M18" s="22"/>
      <c r="N18" s="22"/>
      <c r="O18" s="24"/>
      <c r="P18" s="17"/>
      <c r="Q18" s="18"/>
      <c r="R18" s="11"/>
      <c r="S18" s="12"/>
    </row>
    <row r="19" spans="2:19" ht="12" customHeight="1" hidden="1" outlineLevel="1">
      <c r="B19" s="56" t="s">
        <v>18</v>
      </c>
      <c r="E19" s="19">
        <f>G_60_13</f>
        <v>7.95</v>
      </c>
      <c r="F19" s="20">
        <f>G_60_M</f>
        <v>31</v>
      </c>
      <c r="G19" s="19"/>
      <c r="H19" s="23"/>
      <c r="I19" s="21"/>
      <c r="J19" s="94"/>
      <c r="K19" s="22"/>
      <c r="M19" s="22"/>
      <c r="N19" s="22"/>
      <c r="O19" s="24"/>
      <c r="P19" s="17"/>
      <c r="Q19" s="18"/>
      <c r="R19" s="11"/>
      <c r="S19" s="12"/>
    </row>
    <row r="20" spans="2:19" ht="12" customHeight="1" hidden="1" outlineLevel="1">
      <c r="B20" s="14" t="s">
        <v>10</v>
      </c>
      <c r="E20" s="19">
        <f>G_L_13</f>
        <v>5.35</v>
      </c>
      <c r="F20" s="20">
        <f>G_L_M</f>
        <v>2.1</v>
      </c>
      <c r="G20" s="19"/>
      <c r="H20" s="23"/>
      <c r="I20" s="21"/>
      <c r="J20" s="94"/>
      <c r="K20" s="22"/>
      <c r="M20" s="22"/>
      <c r="N20" s="22"/>
      <c r="O20" s="24"/>
      <c r="P20" s="17"/>
      <c r="Q20" s="18"/>
      <c r="R20" s="11"/>
      <c r="S20" s="12"/>
    </row>
    <row r="21" spans="2:19" ht="12" customHeight="1" hidden="1" outlineLevel="1">
      <c r="B21" s="56" t="s">
        <v>31</v>
      </c>
      <c r="E21" s="19">
        <f>G_K1_13</f>
        <v>13.3</v>
      </c>
      <c r="F21" s="20"/>
      <c r="G21" s="19">
        <f>G_K2_13</f>
        <v>10.64</v>
      </c>
      <c r="H21" s="23">
        <f>G_80K_13</f>
        <v>840</v>
      </c>
      <c r="I21" s="21">
        <f>G_Kopp</f>
        <v>0.6</v>
      </c>
      <c r="J21" s="94">
        <f>G_Kned</f>
        <v>1.2</v>
      </c>
      <c r="K21" s="24">
        <f>G_Kpluss</f>
        <v>0.3</v>
      </c>
      <c r="M21" s="22"/>
      <c r="N21" s="22"/>
      <c r="P21" s="17"/>
      <c r="Q21" s="18"/>
      <c r="R21" s="11"/>
      <c r="S21" s="12"/>
    </row>
    <row r="22" spans="2:19" ht="12" customHeight="1" hidden="1" outlineLevel="1">
      <c r="B22" s="56" t="s">
        <v>49</v>
      </c>
      <c r="E22" s="19">
        <f>G_HK_13</f>
        <v>9.8</v>
      </c>
      <c r="F22" s="20">
        <f>G_HK_M13</f>
        <v>24</v>
      </c>
      <c r="G22" s="19"/>
      <c r="H22" s="21"/>
      <c r="I22" s="21"/>
      <c r="J22" s="94"/>
      <c r="K22" s="22"/>
      <c r="M22" s="22"/>
      <c r="N22" s="22"/>
      <c r="O22" s="8"/>
      <c r="P22" s="17"/>
      <c r="Q22" s="18"/>
      <c r="R22" s="11"/>
      <c r="S22" s="12"/>
    </row>
    <row r="23" spans="2:19" ht="12" customHeight="1" hidden="1" outlineLevel="1">
      <c r="B23" s="56" t="s">
        <v>32</v>
      </c>
      <c r="E23" s="19">
        <f>G_H_13</f>
        <v>1.61</v>
      </c>
      <c r="F23" s="20">
        <f>G_H_M</f>
        <v>7</v>
      </c>
      <c r="G23" s="19"/>
      <c r="H23" s="21"/>
      <c r="I23" s="21"/>
      <c r="J23" s="94"/>
      <c r="K23" s="22"/>
      <c r="M23" s="22"/>
      <c r="N23" s="22"/>
      <c r="O23" s="8"/>
      <c r="P23" s="17"/>
      <c r="Q23" s="18"/>
      <c r="R23" s="11"/>
      <c r="S23" s="12"/>
    </row>
    <row r="24" spans="2:19" ht="12" customHeight="1" hidden="1" outlineLevel="1">
      <c r="B24" s="56" t="s">
        <v>12</v>
      </c>
      <c r="E24" s="20">
        <f>G_600_13</f>
        <v>95</v>
      </c>
      <c r="F24" s="20">
        <f>G_600_M</f>
        <v>2.7</v>
      </c>
      <c r="G24" s="19"/>
      <c r="H24" s="21"/>
      <c r="I24" s="21"/>
      <c r="J24" s="94"/>
      <c r="K24" s="22"/>
      <c r="M24" s="22"/>
      <c r="N24" s="22"/>
      <c r="O24" s="8"/>
      <c r="P24" s="17"/>
      <c r="Q24" s="18"/>
      <c r="R24" s="11"/>
      <c r="S24" s="12"/>
    </row>
    <row r="25" spans="2:19" ht="12" customHeight="1" hidden="1" outlineLevel="1">
      <c r="B25" s="14" t="s">
        <v>13</v>
      </c>
      <c r="E25" s="20">
        <f>G_800_13</f>
        <v>132.5</v>
      </c>
      <c r="F25" s="20">
        <f>G_800_M</f>
        <v>1.8</v>
      </c>
      <c r="G25" s="19"/>
      <c r="H25" s="23"/>
      <c r="I25" s="21"/>
      <c r="J25" s="94"/>
      <c r="K25" s="22"/>
      <c r="M25" s="22"/>
      <c r="N25" s="22"/>
      <c r="O25" s="24"/>
      <c r="P25" s="17"/>
      <c r="Q25" s="18"/>
      <c r="R25" s="11"/>
      <c r="S25" s="12"/>
    </row>
    <row r="26" spans="2:19" ht="12" customHeight="1" hidden="1" outlineLevel="1">
      <c r="B26" s="4" t="s">
        <v>35</v>
      </c>
      <c r="E26" s="20"/>
      <c r="F26" s="20"/>
      <c r="G26" s="19"/>
      <c r="H26" s="23"/>
      <c r="I26" s="21"/>
      <c r="J26" s="94"/>
      <c r="K26" s="22"/>
      <c r="M26" s="22"/>
      <c r="N26" s="22"/>
      <c r="O26" s="24"/>
      <c r="P26" s="17"/>
      <c r="Q26" s="18"/>
      <c r="R26" s="11"/>
      <c r="S26" s="12"/>
    </row>
    <row r="27" spans="2:19" ht="12" customHeight="1" hidden="1" outlineLevel="1">
      <c r="B27" s="56" t="s">
        <v>18</v>
      </c>
      <c r="E27" s="19">
        <f>G_60_14</f>
        <v>7.7</v>
      </c>
      <c r="F27" s="20">
        <f>G_60_M</f>
        <v>31</v>
      </c>
      <c r="G27" s="19"/>
      <c r="H27" s="23"/>
      <c r="I27" s="21"/>
      <c r="J27" s="94"/>
      <c r="K27" s="22"/>
      <c r="M27" s="22"/>
      <c r="N27" s="22"/>
      <c r="O27" s="24"/>
      <c r="P27" s="17"/>
      <c r="Q27" s="18"/>
      <c r="R27" s="11"/>
      <c r="S27" s="12"/>
    </row>
    <row r="28" spans="2:19" ht="12" customHeight="1" hidden="1" outlineLevel="1">
      <c r="B28" s="14" t="s">
        <v>10</v>
      </c>
      <c r="C28" s="14" t="s">
        <v>17</v>
      </c>
      <c r="E28" s="19">
        <f>G_L_14</f>
        <v>5.75</v>
      </c>
      <c r="F28" s="20">
        <f>G_L_M</f>
        <v>2.1</v>
      </c>
      <c r="G28" s="19"/>
      <c r="H28" s="23"/>
      <c r="I28" s="21"/>
      <c r="J28" s="94"/>
      <c r="K28" s="22"/>
      <c r="M28" s="22"/>
      <c r="N28" s="22"/>
      <c r="O28" s="24"/>
      <c r="P28" s="17"/>
      <c r="Q28" s="18"/>
      <c r="R28" s="11"/>
      <c r="S28" s="12"/>
    </row>
    <row r="29" spans="2:19" ht="12" customHeight="1" hidden="1" outlineLevel="1">
      <c r="B29" s="56" t="s">
        <v>46</v>
      </c>
      <c r="E29" s="19">
        <f>G_K1_14</f>
        <v>13.5</v>
      </c>
      <c r="F29" s="20"/>
      <c r="G29" s="19">
        <f>G_K2_14</f>
        <v>10.8</v>
      </c>
      <c r="H29" s="23">
        <f>G_80K_14</f>
        <v>838</v>
      </c>
      <c r="I29" s="21">
        <f>G_Kopp</f>
        <v>0.6</v>
      </c>
      <c r="J29" s="94">
        <f>G_Kned</f>
        <v>1.2</v>
      </c>
      <c r="K29" s="24">
        <f>G_Kpluss</f>
        <v>0.3</v>
      </c>
      <c r="M29" s="22"/>
      <c r="N29" s="22"/>
      <c r="P29" s="17"/>
      <c r="Q29" s="18"/>
      <c r="R29" s="11"/>
      <c r="S29" s="12"/>
    </row>
    <row r="30" spans="2:19" ht="12" customHeight="1" hidden="1" outlineLevel="1">
      <c r="B30" s="56" t="s">
        <v>48</v>
      </c>
      <c r="E30" s="19">
        <f>G_HK_14</f>
        <v>12.2</v>
      </c>
      <c r="F30" s="20">
        <f>G_HK_M14</f>
        <v>18</v>
      </c>
      <c r="G30" s="19"/>
      <c r="H30" s="21"/>
      <c r="I30" s="21"/>
      <c r="J30" s="94"/>
      <c r="K30" s="22"/>
      <c r="L30" s="22"/>
      <c r="M30" s="22"/>
      <c r="N30" s="22"/>
      <c r="O30" s="8"/>
      <c r="P30" s="17"/>
      <c r="Q30" s="18"/>
      <c r="R30" s="11"/>
      <c r="S30" s="12"/>
    </row>
    <row r="31" spans="2:19" ht="12" customHeight="1" hidden="1" outlineLevel="1">
      <c r="B31" s="56" t="s">
        <v>32</v>
      </c>
      <c r="E31" s="19">
        <f>G_H_14</f>
        <v>1.72</v>
      </c>
      <c r="F31" s="20">
        <f>G_H_M</f>
        <v>7</v>
      </c>
      <c r="G31" s="19"/>
      <c r="H31" s="21"/>
      <c r="I31" s="21"/>
      <c r="J31" s="94"/>
      <c r="K31" s="22"/>
      <c r="L31" s="22"/>
      <c r="M31" s="22"/>
      <c r="N31" s="22"/>
      <c r="O31" s="8"/>
      <c r="P31" s="17"/>
      <c r="Q31" s="18"/>
      <c r="R31" s="11"/>
      <c r="S31" s="12"/>
    </row>
    <row r="32" spans="2:19" ht="12" customHeight="1" hidden="1" outlineLevel="1">
      <c r="B32" s="56" t="s">
        <v>12</v>
      </c>
      <c r="E32" s="20">
        <f>G_600_14</f>
        <v>91</v>
      </c>
      <c r="F32" s="20">
        <f>G_600_M</f>
        <v>2.7</v>
      </c>
      <c r="G32" s="19"/>
      <c r="H32" s="21"/>
      <c r="I32" s="21"/>
      <c r="J32" s="94"/>
      <c r="K32" s="22"/>
      <c r="L32" s="22"/>
      <c r="M32" s="22"/>
      <c r="N32" s="22"/>
      <c r="O32" s="8"/>
      <c r="P32" s="17"/>
      <c r="Q32" s="18"/>
      <c r="R32" s="11"/>
      <c r="S32" s="12"/>
    </row>
    <row r="33" spans="2:19" ht="12" customHeight="1" hidden="1" outlineLevel="1">
      <c r="B33" s="14" t="s">
        <v>13</v>
      </c>
      <c r="E33" s="20">
        <f>G_800_14</f>
        <v>127</v>
      </c>
      <c r="F33" s="20">
        <f>G_800_M</f>
        <v>1.8</v>
      </c>
      <c r="G33" s="19"/>
      <c r="H33" s="23"/>
      <c r="I33" s="21"/>
      <c r="J33" s="94"/>
      <c r="K33" s="22"/>
      <c r="L33" s="22"/>
      <c r="M33" s="22"/>
      <c r="N33" s="22"/>
      <c r="O33" s="24"/>
      <c r="P33" s="17"/>
      <c r="Q33" s="18"/>
      <c r="R33" s="11"/>
      <c r="S33" s="12"/>
    </row>
    <row r="34" ht="28.5" customHeight="1" collapsed="1">
      <c r="A34" s="25" t="s">
        <v>106</v>
      </c>
    </row>
    <row r="35" ht="28.5" customHeight="1" outlineLevel="1">
      <c r="A35" s="25" t="s">
        <v>0</v>
      </c>
    </row>
    <row r="36" spans="1:18" ht="19.5">
      <c r="A36" s="28"/>
      <c r="D36" s="29" t="s">
        <v>18</v>
      </c>
      <c r="E36" s="30"/>
      <c r="F36" s="29" t="s">
        <v>10</v>
      </c>
      <c r="G36" s="30"/>
      <c r="H36" s="72" t="s">
        <v>40</v>
      </c>
      <c r="I36" s="30"/>
      <c r="J36" s="96" t="s">
        <v>20</v>
      </c>
      <c r="K36" s="81" t="s">
        <v>42</v>
      </c>
      <c r="L36" s="81"/>
      <c r="M36" s="81" t="s">
        <v>32</v>
      </c>
      <c r="N36" s="81"/>
      <c r="O36" s="32" t="s">
        <v>12</v>
      </c>
      <c r="P36" s="33" t="s">
        <v>17</v>
      </c>
      <c r="Q36" s="34"/>
      <c r="R36" s="35" t="s">
        <v>39</v>
      </c>
    </row>
    <row r="37" spans="1:18" s="4" customFormat="1" ht="12.75" hidden="1" outlineLevel="1">
      <c r="A37" s="1" t="s">
        <v>21</v>
      </c>
      <c r="B37" s="4" t="s">
        <v>22</v>
      </c>
      <c r="C37" s="4" t="s">
        <v>23</v>
      </c>
      <c r="D37" s="5"/>
      <c r="E37" s="1"/>
      <c r="F37" s="5"/>
      <c r="G37" s="1"/>
      <c r="H37" s="36"/>
      <c r="J37" s="95"/>
      <c r="K37" s="26"/>
      <c r="L37" s="26"/>
      <c r="M37" s="26"/>
      <c r="N37" s="26"/>
      <c r="O37" s="17"/>
      <c r="P37" s="10"/>
      <c r="Q37" s="37"/>
      <c r="R37" s="27"/>
    </row>
    <row r="38" spans="1:18" s="4" customFormat="1" ht="12.75" collapsed="1">
      <c r="A38" s="38"/>
      <c r="B38" s="38" t="s">
        <v>67</v>
      </c>
      <c r="C38" s="37"/>
      <c r="D38" s="106" t="s">
        <v>157</v>
      </c>
      <c r="E38" s="41">
        <v>1.1</v>
      </c>
      <c r="F38" s="39"/>
      <c r="G38" s="38"/>
      <c r="H38" s="40"/>
      <c r="I38" s="37"/>
      <c r="J38" s="97"/>
      <c r="K38" s="106" t="s">
        <v>157</v>
      </c>
      <c r="L38" s="41">
        <v>0.5</v>
      </c>
      <c r="M38" s="41"/>
      <c r="N38" s="41"/>
      <c r="O38" s="42"/>
      <c r="P38" s="43"/>
      <c r="Q38" s="37"/>
      <c r="R38" s="44"/>
    </row>
    <row r="39" spans="1:18" ht="12" customHeight="1">
      <c r="A39" s="76">
        <v>1</v>
      </c>
      <c r="B39" s="20" t="s">
        <v>56</v>
      </c>
      <c r="C39" s="78" t="s">
        <v>57</v>
      </c>
      <c r="D39" s="49">
        <v>8.97</v>
      </c>
      <c r="E39" s="48">
        <f aca="true" t="shared" si="0" ref="E39:E45">IF(D39=0,0,MAX(0,1000+10*(J_60_13-D39)*J_60_M))</f>
        <v>846.0999999999999</v>
      </c>
      <c r="F39" s="49">
        <v>4.6</v>
      </c>
      <c r="G39" s="1">
        <f>IF(F39=0,0,MAX(0,TRUNC(1000+100*(F39-J_L_13)*J_L_M)))</f>
        <v>904</v>
      </c>
      <c r="H39" s="49">
        <v>11.92</v>
      </c>
      <c r="I39" s="4">
        <f aca="true" t="shared" si="1" ref="I39:I45">IF(H39=0,0,IF(H39&gt;=j_K1_13,TRUNC(1000+(H39-j_K1_13)*100*J_Kpluss),IF(H39&gt;=j_K2_13,TRUNC(J_80K_13+(H39-j_K2_13)*100*j_Kopp),TRUNC(J_80K_13-(j_K2_13-H39)*100*J_Kned))))</f>
        <v>1032</v>
      </c>
      <c r="J39" s="95">
        <f aca="true" t="shared" si="2" ref="J39:J45">SUM(E39,G39,I39)</f>
        <v>2782.1</v>
      </c>
      <c r="K39" s="73">
        <v>9.97</v>
      </c>
      <c r="L39" s="48">
        <f aca="true" t="shared" si="3" ref="L39:L45">IF(K39=0,0,MAX(0,1000+10*(J_HK_13-K39)*J_HK_M))</f>
        <v>1025.9999999999998</v>
      </c>
      <c r="M39" s="73">
        <v>1.3</v>
      </c>
      <c r="N39" s="1">
        <f aca="true" t="shared" si="4" ref="N39:N45">IF(M39=0,0,MAX(0,TRUNC(1000+100*(M39-J_H_13)*J_H_M)))</f>
        <v>840</v>
      </c>
      <c r="O39" s="52" t="s">
        <v>180</v>
      </c>
      <c r="P39" s="3">
        <v>110.2</v>
      </c>
      <c r="Q39" s="53">
        <f aca="true" t="shared" si="5" ref="Q39:Q45">IF(P39=0,0,MAX(0,1000+10*(J_600_13-P39)*J_600_M))</f>
        <v>836.8000000000001</v>
      </c>
      <c r="R39" s="54">
        <f aca="true" t="shared" si="6" ref="R39:R45">SUM(E39,G39,I39,L39,N39,Q39)</f>
        <v>5484.9</v>
      </c>
    </row>
    <row r="40" spans="1:18" ht="12" customHeight="1">
      <c r="A40" s="76">
        <v>2</v>
      </c>
      <c r="B40" s="78" t="s">
        <v>94</v>
      </c>
      <c r="C40" s="78" t="s">
        <v>65</v>
      </c>
      <c r="D40" s="49">
        <v>9.38</v>
      </c>
      <c r="E40" s="48">
        <f t="shared" si="0"/>
        <v>735.3999999999999</v>
      </c>
      <c r="F40" s="49">
        <v>2.89</v>
      </c>
      <c r="G40" s="1">
        <f>IF(F40=0,0,MAX(0,TRUNC(1000+100*(F40-J_L_13)*J_L_M)))</f>
        <v>493</v>
      </c>
      <c r="H40" s="49">
        <v>7.32</v>
      </c>
      <c r="I40" s="4">
        <f t="shared" si="1"/>
        <v>638</v>
      </c>
      <c r="J40" s="95">
        <f t="shared" si="2"/>
        <v>1866.3999999999999</v>
      </c>
      <c r="K40" s="73">
        <v>11.41</v>
      </c>
      <c r="L40" s="48">
        <f t="shared" si="3"/>
        <v>737.9999999999999</v>
      </c>
      <c r="M40" s="73">
        <v>1.35</v>
      </c>
      <c r="N40" s="1">
        <f t="shared" si="4"/>
        <v>880</v>
      </c>
      <c r="O40" s="52" t="s">
        <v>181</v>
      </c>
      <c r="P40" s="3">
        <v>111.2</v>
      </c>
      <c r="Q40" s="53">
        <f t="shared" si="5"/>
        <v>812.8000000000001</v>
      </c>
      <c r="R40" s="54">
        <f t="shared" si="6"/>
        <v>4297.2</v>
      </c>
    </row>
    <row r="41" spans="1:18" ht="12" customHeight="1">
      <c r="A41" s="76"/>
      <c r="B41" s="45" t="s">
        <v>55</v>
      </c>
      <c r="C41" s="78" t="s">
        <v>65</v>
      </c>
      <c r="D41" s="49">
        <v>10.1</v>
      </c>
      <c r="E41" s="48">
        <f t="shared" si="0"/>
        <v>541.0000000000002</v>
      </c>
      <c r="F41" s="49">
        <v>3.61</v>
      </c>
      <c r="G41" s="1">
        <f>IF(F41=0,0,MAX(0,TRUNC(1000+100*(F41-J_L_13)*J_L_M)))</f>
        <v>666</v>
      </c>
      <c r="H41" s="49">
        <v>7.01</v>
      </c>
      <c r="I41" s="4">
        <f t="shared" si="1"/>
        <v>595</v>
      </c>
      <c r="J41" s="95">
        <f t="shared" si="2"/>
        <v>1802.0000000000002</v>
      </c>
      <c r="K41" s="91" t="s">
        <v>122</v>
      </c>
      <c r="L41" s="48"/>
      <c r="M41" s="73"/>
      <c r="N41" s="1">
        <f t="shared" si="4"/>
        <v>0</v>
      </c>
      <c r="O41" s="52"/>
      <c r="P41" s="3"/>
      <c r="Q41" s="53">
        <f t="shared" si="5"/>
        <v>0</v>
      </c>
      <c r="R41" s="100" t="s">
        <v>123</v>
      </c>
    </row>
    <row r="42" spans="1:18" ht="12" customHeight="1" hidden="1" outlineLevel="1">
      <c r="A42" s="76"/>
      <c r="B42" s="56"/>
      <c r="C42" s="56"/>
      <c r="D42" s="49"/>
      <c r="E42" s="48">
        <f t="shared" si="0"/>
        <v>0</v>
      </c>
      <c r="F42" s="49"/>
      <c r="G42" s="1">
        <f>IF(F42=0,0,MAX(0,TRUNC(1000+100*(F42-J_L_13)*J_L_M)))</f>
        <v>0</v>
      </c>
      <c r="H42" s="49"/>
      <c r="I42" s="4">
        <f t="shared" si="1"/>
        <v>0</v>
      </c>
      <c r="J42" s="95">
        <f t="shared" si="2"/>
        <v>0</v>
      </c>
      <c r="K42" s="91"/>
      <c r="L42" s="48">
        <f t="shared" si="3"/>
        <v>0</v>
      </c>
      <c r="M42" s="73"/>
      <c r="N42" s="1">
        <f t="shared" si="4"/>
        <v>0</v>
      </c>
      <c r="O42" s="52"/>
      <c r="P42" s="3"/>
      <c r="Q42" s="53">
        <f t="shared" si="5"/>
        <v>0</v>
      </c>
      <c r="R42" s="54">
        <f t="shared" si="6"/>
        <v>0</v>
      </c>
    </row>
    <row r="43" spans="1:18" ht="12" customHeight="1" hidden="1" outlineLevel="1">
      <c r="A43" s="76"/>
      <c r="B43" s="20"/>
      <c r="C43" s="56"/>
      <c r="D43" s="49"/>
      <c r="E43" s="48">
        <f t="shared" si="0"/>
        <v>0</v>
      </c>
      <c r="F43" s="82"/>
      <c r="G43" s="1">
        <v>0</v>
      </c>
      <c r="H43" s="49"/>
      <c r="I43" s="4">
        <f t="shared" si="1"/>
        <v>0</v>
      </c>
      <c r="J43" s="95">
        <f t="shared" si="2"/>
        <v>0</v>
      </c>
      <c r="K43" s="91"/>
      <c r="L43" s="48">
        <f t="shared" si="3"/>
        <v>0</v>
      </c>
      <c r="M43" s="73"/>
      <c r="N43" s="1">
        <f t="shared" si="4"/>
        <v>0</v>
      </c>
      <c r="O43" s="52"/>
      <c r="P43" s="3"/>
      <c r="Q43" s="53">
        <f t="shared" si="5"/>
        <v>0</v>
      </c>
      <c r="R43" s="54">
        <f t="shared" si="6"/>
        <v>0</v>
      </c>
    </row>
    <row r="44" spans="1:18" ht="12" customHeight="1" hidden="1" outlineLevel="1">
      <c r="A44" s="76"/>
      <c r="B44" s="45"/>
      <c r="C44" s="45"/>
      <c r="D44" s="49"/>
      <c r="E44" s="48">
        <f t="shared" si="0"/>
        <v>0</v>
      </c>
      <c r="F44" s="49"/>
      <c r="G44" s="1">
        <f>IF(F44=0,0,MAX(0,TRUNC(1000+100*(F44-J_L_13)*J_L_M)))</f>
        <v>0</v>
      </c>
      <c r="H44" s="49"/>
      <c r="I44" s="4">
        <f t="shared" si="1"/>
        <v>0</v>
      </c>
      <c r="J44" s="95">
        <f t="shared" si="2"/>
        <v>0</v>
      </c>
      <c r="K44" s="73"/>
      <c r="L44" s="48">
        <f t="shared" si="3"/>
        <v>0</v>
      </c>
      <c r="M44" s="73"/>
      <c r="N44" s="1">
        <f t="shared" si="4"/>
        <v>0</v>
      </c>
      <c r="O44" s="52"/>
      <c r="P44" s="3"/>
      <c r="Q44" s="53">
        <f t="shared" si="5"/>
        <v>0</v>
      </c>
      <c r="R44" s="54">
        <f t="shared" si="6"/>
        <v>0</v>
      </c>
    </row>
    <row r="45" spans="1:18" ht="12" customHeight="1" hidden="1" outlineLevel="1">
      <c r="A45" s="76"/>
      <c r="B45" s="45"/>
      <c r="C45" s="45"/>
      <c r="D45" s="49"/>
      <c r="E45" s="48">
        <f t="shared" si="0"/>
        <v>0</v>
      </c>
      <c r="F45" s="49"/>
      <c r="G45" s="1">
        <f>IF(F45=0,0,MAX(0,TRUNC(1000+100*(F45-J_L_13)*J_L_M)))</f>
        <v>0</v>
      </c>
      <c r="H45" s="49"/>
      <c r="I45" s="4">
        <f t="shared" si="1"/>
        <v>0</v>
      </c>
      <c r="J45" s="95">
        <f t="shared" si="2"/>
        <v>0</v>
      </c>
      <c r="K45" s="73"/>
      <c r="L45" s="48">
        <f t="shared" si="3"/>
        <v>0</v>
      </c>
      <c r="M45" s="73"/>
      <c r="N45" s="1">
        <f t="shared" si="4"/>
        <v>0</v>
      </c>
      <c r="O45" s="52"/>
      <c r="P45" s="3"/>
      <c r="Q45" s="53">
        <f t="shared" si="5"/>
        <v>0</v>
      </c>
      <c r="R45" s="54">
        <f t="shared" si="6"/>
        <v>0</v>
      </c>
    </row>
    <row r="46" spans="4:18" ht="12" customHeight="1" collapsed="1">
      <c r="D46" s="49"/>
      <c r="E46" s="48"/>
      <c r="F46" s="14"/>
      <c r="H46" s="14"/>
      <c r="J46" s="98"/>
      <c r="K46" s="73"/>
      <c r="L46" s="48"/>
      <c r="M46" s="73"/>
      <c r="N46" s="1"/>
      <c r="O46" s="52"/>
      <c r="P46" s="3"/>
      <c r="Q46" s="53"/>
      <c r="R46" s="54"/>
    </row>
    <row r="47" spans="1:18" ht="19.5">
      <c r="A47" s="28"/>
      <c r="D47" s="29" t="s">
        <v>18</v>
      </c>
      <c r="E47" s="30"/>
      <c r="F47" s="29" t="s">
        <v>10</v>
      </c>
      <c r="G47" s="30"/>
      <c r="H47" s="72" t="s">
        <v>36</v>
      </c>
      <c r="I47" s="30"/>
      <c r="J47" s="96" t="s">
        <v>20</v>
      </c>
      <c r="K47" s="81" t="s">
        <v>43</v>
      </c>
      <c r="L47" s="81"/>
      <c r="M47" s="81" t="s">
        <v>32</v>
      </c>
      <c r="N47" s="81"/>
      <c r="O47" s="32" t="s">
        <v>12</v>
      </c>
      <c r="P47" s="33" t="s">
        <v>17</v>
      </c>
      <c r="Q47" s="34"/>
      <c r="R47" s="35"/>
    </row>
    <row r="48" spans="1:18" s="4" customFormat="1" ht="13.5" customHeight="1">
      <c r="A48" s="57"/>
      <c r="B48" s="57" t="s">
        <v>68</v>
      </c>
      <c r="C48" s="58"/>
      <c r="D48" s="106" t="s">
        <v>157</v>
      </c>
      <c r="E48" s="41">
        <v>1.1</v>
      </c>
      <c r="F48" s="60"/>
      <c r="G48" s="38"/>
      <c r="H48" s="60"/>
      <c r="I48" s="37"/>
      <c r="J48" s="97"/>
      <c r="K48" s="106" t="s">
        <v>157</v>
      </c>
      <c r="L48" s="41">
        <v>0.5</v>
      </c>
      <c r="M48" s="74"/>
      <c r="N48" s="61"/>
      <c r="O48" s="62"/>
      <c r="P48" s="63"/>
      <c r="Q48" s="53"/>
      <c r="R48" s="54"/>
    </row>
    <row r="49" spans="1:18" ht="12.75">
      <c r="A49" s="76">
        <v>1</v>
      </c>
      <c r="B49" s="78" t="s">
        <v>108</v>
      </c>
      <c r="C49" s="78" t="s">
        <v>109</v>
      </c>
      <c r="D49" s="49">
        <v>8.49</v>
      </c>
      <c r="E49" s="48">
        <f aca="true" t="shared" si="7" ref="E49:E55">IF(D49=0,0,MAX(0,1000+10*(J_60_14-D49)*J_60_M))</f>
        <v>935.1999999999999</v>
      </c>
      <c r="F49" s="49">
        <v>4.71</v>
      </c>
      <c r="G49" s="1">
        <f aca="true" t="shared" si="8" ref="G49:G55">IF(F49=0,0,MAX(0,TRUNC(1000+100*(F49-J_L_14)*J_L_M)))</f>
        <v>882</v>
      </c>
      <c r="H49" s="49">
        <v>8.44</v>
      </c>
      <c r="I49" s="4">
        <f aca="true" t="shared" si="9" ref="I49:I55">IF(H49=0,0,IF(H49&gt;=j_K1_14,TRUNC(1000+(H49-j_K1_14)*100*J_Kpluss),IF(H49&gt;=j_K2_14,TRUNC(J_80K_14+(H49-j_K2_14)*100*j_Kopp),TRUNC(J_80K_14-(j_K2_14-H49)*100*J_Kned))))</f>
        <v>795</v>
      </c>
      <c r="J49" s="95">
        <f aca="true" t="shared" si="10" ref="J49:J55">SUM(E49,G49,I49)</f>
        <v>2612.2</v>
      </c>
      <c r="K49" s="73">
        <v>9.95</v>
      </c>
      <c r="L49" s="48">
        <f aca="true" t="shared" si="11" ref="L49:L55">IF(K49=0,0,MAX(0,1000+10*(J_HK_14-K49)*J_HK_M))</f>
        <v>970.0000000000002</v>
      </c>
      <c r="M49" s="73">
        <v>1.25</v>
      </c>
      <c r="N49" s="1">
        <f aca="true" t="shared" si="12" ref="N49:N55">IF(M49=0,0,MAX(0,TRUNC(1000+100*(M49-J_H_14)*J_H_M)))</f>
        <v>752</v>
      </c>
      <c r="O49" s="52" t="s">
        <v>179</v>
      </c>
      <c r="P49" s="3">
        <v>109.2</v>
      </c>
      <c r="Q49" s="53">
        <f aca="true" t="shared" si="13" ref="Q49:Q55">IF(P49=0,0,MAX(0,1000+10*(J_600_14-P49)*J_600_M))</f>
        <v>817.5999999999998</v>
      </c>
      <c r="R49" s="54">
        <f aca="true" t="shared" si="14" ref="R49:R55">SUM(E49,G49,I49,L49,N49,Q49)</f>
        <v>5151.799999999999</v>
      </c>
    </row>
    <row r="50" spans="1:18" ht="12.75">
      <c r="A50" s="76">
        <v>2</v>
      </c>
      <c r="B50" s="56" t="s">
        <v>113</v>
      </c>
      <c r="C50" s="56" t="s">
        <v>1</v>
      </c>
      <c r="D50" s="49">
        <v>9.09</v>
      </c>
      <c r="E50" s="48">
        <f t="shared" si="7"/>
        <v>773.2</v>
      </c>
      <c r="F50" s="49">
        <v>4.42</v>
      </c>
      <c r="G50" s="1">
        <f t="shared" si="8"/>
        <v>812</v>
      </c>
      <c r="H50" s="49">
        <v>8.54</v>
      </c>
      <c r="I50" s="4">
        <f t="shared" si="9"/>
        <v>809</v>
      </c>
      <c r="J50" s="95">
        <f>SUM(E50,G50,I50)</f>
        <v>2394.2</v>
      </c>
      <c r="K50" s="73">
        <v>10.93</v>
      </c>
      <c r="L50" s="48">
        <f t="shared" si="11"/>
        <v>774.0000000000002</v>
      </c>
      <c r="M50" s="73">
        <v>1.45</v>
      </c>
      <c r="N50" s="1">
        <f t="shared" si="12"/>
        <v>912</v>
      </c>
      <c r="O50" s="52" t="s">
        <v>182</v>
      </c>
      <c r="P50" s="3">
        <v>120.7</v>
      </c>
      <c r="Q50" s="53">
        <f t="shared" si="13"/>
        <v>541.5999999999998</v>
      </c>
      <c r="R50" s="54">
        <f>SUM(E50,G50,I50,L50,N50,Q50)</f>
        <v>4621.799999999999</v>
      </c>
    </row>
    <row r="51" spans="1:18" ht="12.75">
      <c r="A51" s="76"/>
      <c r="B51" s="56" t="s">
        <v>114</v>
      </c>
      <c r="C51" s="56" t="s">
        <v>1</v>
      </c>
      <c r="D51" s="49">
        <v>9.14</v>
      </c>
      <c r="E51" s="48">
        <f t="shared" si="7"/>
        <v>759.6999999999998</v>
      </c>
      <c r="F51" s="49">
        <v>4.33</v>
      </c>
      <c r="G51" s="1">
        <f t="shared" si="8"/>
        <v>791</v>
      </c>
      <c r="H51" s="49">
        <v>6.58</v>
      </c>
      <c r="I51" s="4">
        <f t="shared" si="9"/>
        <v>535</v>
      </c>
      <c r="J51" s="95">
        <f t="shared" si="10"/>
        <v>2085.7</v>
      </c>
      <c r="K51" s="73">
        <v>10.92</v>
      </c>
      <c r="L51" s="48">
        <f t="shared" si="11"/>
        <v>776.0000000000002</v>
      </c>
      <c r="M51" s="91" t="s">
        <v>122</v>
      </c>
      <c r="N51" s="1"/>
      <c r="O51" s="52"/>
      <c r="P51" s="3"/>
      <c r="Q51" s="53">
        <f t="shared" si="13"/>
        <v>0</v>
      </c>
      <c r="R51" s="100" t="s">
        <v>123</v>
      </c>
    </row>
    <row r="52" spans="1:18" ht="12.75" hidden="1" outlineLevel="1">
      <c r="A52" s="76"/>
      <c r="B52" s="20"/>
      <c r="C52" s="78"/>
      <c r="D52" s="49"/>
      <c r="E52" s="48">
        <f t="shared" si="7"/>
        <v>0</v>
      </c>
      <c r="F52" s="49"/>
      <c r="G52" s="1">
        <f t="shared" si="8"/>
        <v>0</v>
      </c>
      <c r="H52" s="49"/>
      <c r="I52" s="4">
        <f t="shared" si="9"/>
        <v>0</v>
      </c>
      <c r="J52" s="95">
        <f t="shared" si="10"/>
        <v>0</v>
      </c>
      <c r="K52" s="73"/>
      <c r="L52" s="48">
        <f t="shared" si="11"/>
        <v>0</v>
      </c>
      <c r="M52" s="73"/>
      <c r="N52" s="1">
        <f t="shared" si="12"/>
        <v>0</v>
      </c>
      <c r="O52" s="52"/>
      <c r="P52" s="3"/>
      <c r="Q52" s="53">
        <f t="shared" si="13"/>
        <v>0</v>
      </c>
      <c r="R52" s="54">
        <f t="shared" si="14"/>
        <v>0</v>
      </c>
    </row>
    <row r="53" spans="1:18" ht="12.75" hidden="1" outlineLevel="1">
      <c r="A53" s="76"/>
      <c r="B53" s="56"/>
      <c r="C53" s="56"/>
      <c r="D53" s="49"/>
      <c r="E53" s="48">
        <f t="shared" si="7"/>
        <v>0</v>
      </c>
      <c r="F53" s="49"/>
      <c r="G53" s="1">
        <f t="shared" si="8"/>
        <v>0</v>
      </c>
      <c r="H53" s="49"/>
      <c r="I53" s="4">
        <f t="shared" si="9"/>
        <v>0</v>
      </c>
      <c r="J53" s="95">
        <f t="shared" si="10"/>
        <v>0</v>
      </c>
      <c r="K53" s="73"/>
      <c r="L53" s="48">
        <f t="shared" si="11"/>
        <v>0</v>
      </c>
      <c r="M53" s="73"/>
      <c r="N53" s="1">
        <f t="shared" si="12"/>
        <v>0</v>
      </c>
      <c r="O53" s="52"/>
      <c r="P53" s="3"/>
      <c r="Q53" s="53">
        <f t="shared" si="13"/>
        <v>0</v>
      </c>
      <c r="R53" s="54">
        <f t="shared" si="14"/>
        <v>0</v>
      </c>
    </row>
    <row r="54" spans="1:18" ht="12.75" hidden="1" outlineLevel="1">
      <c r="A54" s="76"/>
      <c r="B54" s="78"/>
      <c r="C54" s="78"/>
      <c r="D54" s="49"/>
      <c r="E54" s="48">
        <f t="shared" si="7"/>
        <v>0</v>
      </c>
      <c r="F54" s="82"/>
      <c r="G54" s="1">
        <f t="shared" si="8"/>
        <v>0</v>
      </c>
      <c r="H54" s="49"/>
      <c r="I54" s="4">
        <f t="shared" si="9"/>
        <v>0</v>
      </c>
      <c r="J54" s="95">
        <f t="shared" si="10"/>
        <v>0</v>
      </c>
      <c r="K54" s="73"/>
      <c r="L54" s="48">
        <f t="shared" si="11"/>
        <v>0</v>
      </c>
      <c r="M54" s="73"/>
      <c r="N54" s="1">
        <f t="shared" si="12"/>
        <v>0</v>
      </c>
      <c r="O54" s="52"/>
      <c r="P54" s="3"/>
      <c r="Q54" s="53">
        <f t="shared" si="13"/>
        <v>0</v>
      </c>
      <c r="R54" s="54">
        <f t="shared" si="14"/>
        <v>0</v>
      </c>
    </row>
    <row r="55" spans="1:18" ht="12.75" hidden="1" outlineLevel="1">
      <c r="A55" s="76"/>
      <c r="B55" s="56"/>
      <c r="C55" s="56"/>
      <c r="D55" s="49"/>
      <c r="E55" s="48">
        <f t="shared" si="7"/>
        <v>0</v>
      </c>
      <c r="F55" s="49"/>
      <c r="G55" s="1">
        <f t="shared" si="8"/>
        <v>0</v>
      </c>
      <c r="H55" s="49"/>
      <c r="I55" s="4">
        <f t="shared" si="9"/>
        <v>0</v>
      </c>
      <c r="J55" s="95">
        <f t="shared" si="10"/>
        <v>0</v>
      </c>
      <c r="K55" s="73"/>
      <c r="L55" s="48">
        <f t="shared" si="11"/>
        <v>0</v>
      </c>
      <c r="M55" s="73"/>
      <c r="N55" s="1">
        <f t="shared" si="12"/>
        <v>0</v>
      </c>
      <c r="O55" s="52"/>
      <c r="P55" s="3"/>
      <c r="Q55" s="53">
        <f t="shared" si="13"/>
        <v>0</v>
      </c>
      <c r="R55" s="54">
        <f t="shared" si="14"/>
        <v>0</v>
      </c>
    </row>
    <row r="56" spans="1:18" ht="12.75" hidden="1" outlineLevel="1">
      <c r="A56" s="76"/>
      <c r="B56" s="78"/>
      <c r="C56" s="78"/>
      <c r="D56" s="76"/>
      <c r="E56" s="48"/>
      <c r="F56" s="49"/>
      <c r="H56" s="49"/>
      <c r="K56" s="73"/>
      <c r="L56" s="48"/>
      <c r="M56" s="73"/>
      <c r="N56" s="1"/>
      <c r="O56" s="52"/>
      <c r="P56" s="3"/>
      <c r="Q56" s="53"/>
      <c r="R56" s="54"/>
    </row>
    <row r="57" spans="1:18" ht="12" customHeight="1" hidden="1" outlineLevel="1">
      <c r="A57" s="45"/>
      <c r="B57" s="56"/>
      <c r="C57" s="56"/>
      <c r="D57" s="49"/>
      <c r="E57" s="14"/>
      <c r="F57" s="14"/>
      <c r="G57" s="14"/>
      <c r="H57" s="14"/>
      <c r="I57" s="14"/>
      <c r="J57" s="98"/>
      <c r="K57" s="73"/>
      <c r="L57" s="48"/>
      <c r="M57" s="73"/>
      <c r="N57" s="1"/>
      <c r="O57" s="55"/>
      <c r="P57" s="3"/>
      <c r="Q57" s="53"/>
      <c r="R57" s="54"/>
    </row>
    <row r="58" spans="1:18" ht="19.5" collapsed="1">
      <c r="A58" s="28"/>
      <c r="D58" s="29" t="s">
        <v>18</v>
      </c>
      <c r="E58" s="30"/>
      <c r="F58" s="29" t="s">
        <v>10</v>
      </c>
      <c r="G58" s="30"/>
      <c r="H58" s="72" t="s">
        <v>36</v>
      </c>
      <c r="I58" s="30"/>
      <c r="J58" s="96" t="s">
        <v>20</v>
      </c>
      <c r="K58" s="81" t="s">
        <v>43</v>
      </c>
      <c r="L58" s="81"/>
      <c r="M58" s="81" t="s">
        <v>32</v>
      </c>
      <c r="N58" s="81"/>
      <c r="O58" s="32" t="s">
        <v>12</v>
      </c>
      <c r="P58" s="33" t="s">
        <v>17</v>
      </c>
      <c r="Q58" s="34"/>
      <c r="R58" s="35"/>
    </row>
    <row r="59" spans="1:18" ht="12.75" customHeight="1">
      <c r="A59" s="57"/>
      <c r="B59" s="57" t="s">
        <v>69</v>
      </c>
      <c r="C59" s="47"/>
      <c r="D59" s="106" t="s">
        <v>157</v>
      </c>
      <c r="E59" s="41">
        <v>0.6</v>
      </c>
      <c r="F59" s="49"/>
      <c r="H59" s="49"/>
      <c r="K59" s="106" t="s">
        <v>157</v>
      </c>
      <c r="L59" s="107">
        <v>-2</v>
      </c>
      <c r="M59" s="73"/>
      <c r="N59" s="51"/>
      <c r="O59" s="52"/>
      <c r="P59" s="3"/>
      <c r="Q59" s="53"/>
      <c r="R59" s="54"/>
    </row>
    <row r="60" spans="1:18" ht="12" customHeight="1">
      <c r="A60" s="76">
        <v>1</v>
      </c>
      <c r="B60" s="78" t="s">
        <v>120</v>
      </c>
      <c r="C60" s="78" t="s">
        <v>1</v>
      </c>
      <c r="D60" s="49">
        <v>8.5</v>
      </c>
      <c r="E60" s="48">
        <f aca="true" t="shared" si="15" ref="E60:E65">IF(D60=0,0,MAX(0,1000+10*(G_60_13-D60)*G_60_M))</f>
        <v>829.5</v>
      </c>
      <c r="F60" s="49">
        <v>4.8</v>
      </c>
      <c r="G60" s="1">
        <f aca="true" t="shared" si="16" ref="G60:G65">IF(F60=0,0,MAX(0,TRUNC(1000+100*(F60-G_L_13)*G_L_M)))</f>
        <v>884</v>
      </c>
      <c r="H60" s="49">
        <v>8.82</v>
      </c>
      <c r="I60" s="4">
        <f aca="true" t="shared" si="17" ref="I60:I65">IF(H60=0,0,IF(H60&gt;=G_K1_13,TRUNC(1000+(H60-G_K1_13)*100*G_Kpluss),IF(H60&gt;=G_K2_13,TRUNC(G_80K_13+(H60-G_K2_13)*100*G_Kopp),TRUNC(G_80K_13-(G_K2_13-H60)*100*G_Kned))))</f>
        <v>621</v>
      </c>
      <c r="J60" s="95">
        <f aca="true" t="shared" si="18" ref="J60:J65">SUM(E60,G60,I60)</f>
        <v>2334.5</v>
      </c>
      <c r="K60" s="73">
        <v>10.83</v>
      </c>
      <c r="L60" s="48">
        <f aca="true" t="shared" si="19" ref="L60:L65">IF(K60=0,0,MAX(0,1000+10*(G_HK_13-K60)*G_HK_M13))</f>
        <v>752.8000000000002</v>
      </c>
      <c r="M60" s="73">
        <v>1.3</v>
      </c>
      <c r="N60" s="1">
        <f aca="true" t="shared" si="20" ref="N60:N65">IF(M60=0,0,MAX(0,TRUNC(1000+100*(M60-G_H_13)*G_H_M)))</f>
        <v>783</v>
      </c>
      <c r="O60" s="55" t="s">
        <v>185</v>
      </c>
      <c r="P60" s="3">
        <v>109.7</v>
      </c>
      <c r="Q60" s="53">
        <f aca="true" t="shared" si="21" ref="Q60:Q65">IF(P60=0,0,MAX(0,1000+10*(G_600_13-P60)*G_600_M))</f>
        <v>603.0999999999999</v>
      </c>
      <c r="R60" s="54">
        <f>SUM(E60,G60,I60,L60,N60,Q60)</f>
        <v>4473.4</v>
      </c>
    </row>
    <row r="61" spans="1:18" ht="12" customHeight="1">
      <c r="A61" s="76">
        <v>3</v>
      </c>
      <c r="B61" s="78" t="s">
        <v>78</v>
      </c>
      <c r="C61" s="78" t="s">
        <v>79</v>
      </c>
      <c r="D61" s="49">
        <v>8.89</v>
      </c>
      <c r="E61" s="48">
        <f t="shared" si="15"/>
        <v>708.5999999999999</v>
      </c>
      <c r="F61" s="49">
        <v>4.2</v>
      </c>
      <c r="G61" s="1">
        <f t="shared" si="16"/>
        <v>758</v>
      </c>
      <c r="H61" s="49">
        <v>9.95</v>
      </c>
      <c r="I61" s="4">
        <f t="shared" si="17"/>
        <v>757</v>
      </c>
      <c r="J61" s="95">
        <f t="shared" si="18"/>
        <v>2223.6</v>
      </c>
      <c r="K61" s="73">
        <v>10.67</v>
      </c>
      <c r="L61" s="48">
        <f t="shared" si="19"/>
        <v>791.2000000000002</v>
      </c>
      <c r="M61" s="73">
        <v>1.2</v>
      </c>
      <c r="N61" s="1">
        <f t="shared" si="20"/>
        <v>713</v>
      </c>
      <c r="O61" s="55" t="s">
        <v>183</v>
      </c>
      <c r="P61" s="3">
        <v>106.1</v>
      </c>
      <c r="Q61" s="53">
        <f t="shared" si="21"/>
        <v>700.3000000000002</v>
      </c>
      <c r="R61" s="54">
        <f>SUM(E61,G61,I61,L61,N61,Q61)</f>
        <v>4428.1</v>
      </c>
    </row>
    <row r="62" spans="1:18" ht="12" customHeight="1">
      <c r="A62" s="76">
        <v>2</v>
      </c>
      <c r="B62" s="78" t="s">
        <v>54</v>
      </c>
      <c r="C62" s="78" t="s">
        <v>80</v>
      </c>
      <c r="D62" s="49">
        <v>8.65</v>
      </c>
      <c r="E62" s="48">
        <f t="shared" si="15"/>
        <v>783</v>
      </c>
      <c r="F62" s="49">
        <v>4.19</v>
      </c>
      <c r="G62" s="1">
        <f t="shared" si="16"/>
        <v>756</v>
      </c>
      <c r="H62" s="49">
        <v>8.44</v>
      </c>
      <c r="I62" s="4">
        <f t="shared" si="17"/>
        <v>576</v>
      </c>
      <c r="J62" s="95">
        <f t="shared" si="18"/>
        <v>2115</v>
      </c>
      <c r="K62" s="73">
        <v>10.41</v>
      </c>
      <c r="L62" s="48">
        <f t="shared" si="19"/>
        <v>853.6000000000001</v>
      </c>
      <c r="M62" s="73">
        <v>1.3</v>
      </c>
      <c r="N62" s="1">
        <f t="shared" si="20"/>
        <v>783</v>
      </c>
      <c r="O62" s="55" t="s">
        <v>184</v>
      </c>
      <c r="P62" s="3">
        <v>107.3</v>
      </c>
      <c r="Q62" s="53">
        <f t="shared" si="21"/>
        <v>667.9000000000001</v>
      </c>
      <c r="R62" s="54">
        <f>SUM(E62,G62,I62,L62,N62,Q62)</f>
        <v>4419.5</v>
      </c>
    </row>
    <row r="63" spans="1:18" ht="12" customHeight="1">
      <c r="A63" s="76">
        <v>4</v>
      </c>
      <c r="B63" s="78" t="s">
        <v>95</v>
      </c>
      <c r="C63" s="78" t="s">
        <v>65</v>
      </c>
      <c r="D63" s="49">
        <v>9.41</v>
      </c>
      <c r="E63" s="48">
        <f t="shared" si="15"/>
        <v>547.4000000000001</v>
      </c>
      <c r="F63" s="49">
        <v>3.69</v>
      </c>
      <c r="G63" s="1">
        <f t="shared" si="16"/>
        <v>651</v>
      </c>
      <c r="H63" s="49">
        <v>5.89</v>
      </c>
      <c r="I63" s="4">
        <f t="shared" si="17"/>
        <v>270</v>
      </c>
      <c r="J63" s="95">
        <f t="shared" si="18"/>
        <v>1468.4</v>
      </c>
      <c r="K63" s="73">
        <v>12.38</v>
      </c>
      <c r="L63" s="48">
        <f t="shared" si="19"/>
        <v>380.79999999999995</v>
      </c>
      <c r="M63" s="73">
        <v>1.3</v>
      </c>
      <c r="N63" s="1">
        <f t="shared" si="20"/>
        <v>783</v>
      </c>
      <c r="O63" s="55" t="s">
        <v>186</v>
      </c>
      <c r="P63" s="3">
        <v>111.8</v>
      </c>
      <c r="Q63" s="53">
        <f t="shared" si="21"/>
        <v>546.4000000000001</v>
      </c>
      <c r="R63" s="54">
        <f>SUM(E63,G63,I63,L63,N63,Q63)</f>
        <v>3178.6</v>
      </c>
    </row>
    <row r="64" spans="1:18" ht="12" customHeight="1" hidden="1" outlineLevel="1">
      <c r="A64" s="76"/>
      <c r="B64" s="78"/>
      <c r="C64" s="78"/>
      <c r="D64" s="49"/>
      <c r="E64" s="48">
        <f t="shared" si="15"/>
        <v>0</v>
      </c>
      <c r="F64" s="49"/>
      <c r="G64" s="1">
        <f t="shared" si="16"/>
        <v>0</v>
      </c>
      <c r="H64" s="49"/>
      <c r="I64" s="4">
        <f t="shared" si="17"/>
        <v>0</v>
      </c>
      <c r="J64" s="95">
        <f t="shared" si="18"/>
        <v>0</v>
      </c>
      <c r="K64" s="73"/>
      <c r="L64" s="48">
        <f t="shared" si="19"/>
        <v>0</v>
      </c>
      <c r="M64" s="73"/>
      <c r="N64" s="1">
        <f t="shared" si="20"/>
        <v>0</v>
      </c>
      <c r="O64" s="55"/>
      <c r="P64" s="3"/>
      <c r="Q64" s="53">
        <f t="shared" si="21"/>
        <v>0</v>
      </c>
      <c r="R64" s="54">
        <f>SUM(E64,G64,I64,L64,N64,Q64)</f>
        <v>0</v>
      </c>
    </row>
    <row r="65" spans="1:18" ht="12" customHeight="1" collapsed="1">
      <c r="A65" s="76"/>
      <c r="B65" s="78" t="s">
        <v>53</v>
      </c>
      <c r="C65" s="78" t="s">
        <v>80</v>
      </c>
      <c r="D65" s="49">
        <v>8.66</v>
      </c>
      <c r="E65" s="48">
        <f t="shared" si="15"/>
        <v>779.9</v>
      </c>
      <c r="F65" s="49">
        <v>4.59</v>
      </c>
      <c r="G65" s="1">
        <f t="shared" si="16"/>
        <v>840</v>
      </c>
      <c r="H65" s="49">
        <v>6.96</v>
      </c>
      <c r="I65" s="4">
        <f t="shared" si="17"/>
        <v>398</v>
      </c>
      <c r="J65" s="95">
        <f t="shared" si="18"/>
        <v>2017.9</v>
      </c>
      <c r="K65" s="73">
        <v>10.56</v>
      </c>
      <c r="L65" s="48">
        <f t="shared" si="19"/>
        <v>817.6</v>
      </c>
      <c r="M65" s="73">
        <v>1.25</v>
      </c>
      <c r="N65" s="1">
        <f t="shared" si="20"/>
        <v>748</v>
      </c>
      <c r="O65" s="55" t="s">
        <v>122</v>
      </c>
      <c r="P65" s="3"/>
      <c r="Q65" s="53">
        <f t="shared" si="21"/>
        <v>0</v>
      </c>
      <c r="R65" s="100" t="s">
        <v>123</v>
      </c>
    </row>
    <row r="66" spans="1:18" ht="12" customHeight="1" collapsed="1">
      <c r="A66" s="45"/>
      <c r="B66" s="45"/>
      <c r="C66" s="45"/>
      <c r="D66" s="49"/>
      <c r="E66" s="48"/>
      <c r="F66" s="49"/>
      <c r="H66" s="49"/>
      <c r="K66" s="73"/>
      <c r="L66" s="48"/>
      <c r="M66" s="73"/>
      <c r="N66" s="1"/>
      <c r="O66" s="55"/>
      <c r="P66" s="3"/>
      <c r="Q66" s="53"/>
      <c r="R66" s="54"/>
    </row>
    <row r="67" spans="1:18" ht="19.5" collapsed="1">
      <c r="A67" s="28"/>
      <c r="D67" s="29" t="s">
        <v>18</v>
      </c>
      <c r="E67" s="30"/>
      <c r="F67" s="29" t="s">
        <v>10</v>
      </c>
      <c r="G67" s="30"/>
      <c r="H67" s="72" t="s">
        <v>41</v>
      </c>
      <c r="I67" s="30"/>
      <c r="J67" s="96" t="s">
        <v>20</v>
      </c>
      <c r="K67" s="81" t="s">
        <v>47</v>
      </c>
      <c r="L67" s="81"/>
      <c r="M67" s="81" t="s">
        <v>32</v>
      </c>
      <c r="N67" s="81"/>
      <c r="O67" s="32" t="s">
        <v>12</v>
      </c>
      <c r="P67" s="33" t="s">
        <v>17</v>
      </c>
      <c r="Q67" s="34"/>
      <c r="R67" s="35"/>
    </row>
    <row r="68" spans="1:18" ht="13.5" customHeight="1">
      <c r="A68" s="57"/>
      <c r="B68" s="57" t="s">
        <v>70</v>
      </c>
      <c r="C68" s="47"/>
      <c r="D68" s="106" t="s">
        <v>157</v>
      </c>
      <c r="E68" s="41">
        <v>2.2</v>
      </c>
      <c r="F68" s="49"/>
      <c r="G68" s="38"/>
      <c r="H68" s="49"/>
      <c r="I68" s="37"/>
      <c r="J68" s="97"/>
      <c r="K68" s="106" t="s">
        <v>157</v>
      </c>
      <c r="L68" s="108">
        <v>-1</v>
      </c>
      <c r="M68" s="74"/>
      <c r="N68" s="41"/>
      <c r="O68" s="55"/>
      <c r="P68" s="3"/>
      <c r="Q68" s="53"/>
      <c r="R68" s="54"/>
    </row>
    <row r="69" spans="1:18" ht="12" customHeight="1">
      <c r="A69" s="76">
        <v>1</v>
      </c>
      <c r="B69" s="45" t="s">
        <v>116</v>
      </c>
      <c r="C69" s="78" t="s">
        <v>115</v>
      </c>
      <c r="D69" s="49">
        <v>8.2</v>
      </c>
      <c r="E69" s="48">
        <f>IF(D69=0,0,MAX(0,1000+10*(G_60_14-D69)*G_60_M))</f>
        <v>845.0000000000002</v>
      </c>
      <c r="F69" s="65">
        <v>4.11</v>
      </c>
      <c r="G69" s="1">
        <f>IF(F69=0,0,MAX(0,TRUNC(1000+100*(F69-G_L_14)*G_L_M)))</f>
        <v>655</v>
      </c>
      <c r="H69" s="65">
        <v>9.41</v>
      </c>
      <c r="I69" s="4">
        <f>IF(H69=0,0,IF(H69&gt;=G_K1_14,TRUNC(1000+(H69-G_K1_14)*100*G_Kpluss),IF(H69&gt;=G_K2_14,TRUNC(G_80K_14+(H69-G_K2_14)*100*G_Kopp),TRUNC(G_80K_14-(G_K2_14-H69)*100*G_Kned))))</f>
        <v>671</v>
      </c>
      <c r="J69" s="95">
        <f>SUM(E69,G69,I69)</f>
        <v>2171</v>
      </c>
      <c r="K69" s="73">
        <v>18.08</v>
      </c>
      <c r="L69" s="48">
        <f>IF(K69=0,0,MAX(0,1000+10*(G_HK_14-K69)*G_HK_M14))</f>
        <v>0</v>
      </c>
      <c r="M69" s="73">
        <v>1.5</v>
      </c>
      <c r="N69" s="1">
        <f>IF(M69=0,0,MAX(0,TRUNC(1000+100*(M69-G_H_14)*G_H_M)))</f>
        <v>846</v>
      </c>
      <c r="O69" s="55" t="s">
        <v>187</v>
      </c>
      <c r="P69" s="3">
        <v>106.8</v>
      </c>
      <c r="Q69" s="53">
        <f>IF(P69=0,0,MAX(0,1000+10*(G_600_14-P69)*G_600_M))</f>
        <v>573.4000000000001</v>
      </c>
      <c r="R69" s="54">
        <f>SUM(E69,G69,I69,L69,N69,Q69)</f>
        <v>3590.4</v>
      </c>
    </row>
    <row r="70" spans="1:18" ht="12" customHeight="1">
      <c r="A70" s="80">
        <v>2</v>
      </c>
      <c r="B70" s="20" t="s">
        <v>117</v>
      </c>
      <c r="C70" s="78" t="s">
        <v>115</v>
      </c>
      <c r="D70" s="49">
        <v>8.31</v>
      </c>
      <c r="E70" s="48">
        <f>IF(D70=0,0,MAX(0,1000+10*(G_60_14-D70)*G_60_M))</f>
        <v>810.8999999999999</v>
      </c>
      <c r="F70" s="49">
        <v>4.91</v>
      </c>
      <c r="G70" s="1">
        <f>IF(F70=0,0,MAX(0,TRUNC(1000+100*(F70-G_L_14)*G_L_M)))</f>
        <v>823</v>
      </c>
      <c r="H70" s="49">
        <v>7.25</v>
      </c>
      <c r="I70" s="4">
        <f>IF(H70=0,0,IF(H70&gt;=G_K1_14,TRUNC(1000+(H70-G_K1_14)*100*G_Kpluss),IF(H70&gt;=G_K2_14,TRUNC(G_80K_14+(H70-G_K2_14)*100*G_Kopp),TRUNC(G_80K_14-(G_K2_14-H70)*100*G_Kned))))</f>
        <v>412</v>
      </c>
      <c r="J70" s="95">
        <f>SUM(E70,G70,I70)</f>
        <v>2045.8999999999999</v>
      </c>
      <c r="K70" s="73">
        <v>17.21</v>
      </c>
      <c r="L70" s="48">
        <f>IF(K70=0,0,MAX(0,1000+10*(G_HK_14-K70)*G_HK_M14))</f>
        <v>98.1999999999997</v>
      </c>
      <c r="M70" s="73">
        <v>1.45</v>
      </c>
      <c r="N70" s="1">
        <f>IF(M70=0,0,MAX(0,TRUNC(1000+100*(M70-G_H_14)*G_H_M)))</f>
        <v>811</v>
      </c>
      <c r="O70" s="52" t="s">
        <v>188</v>
      </c>
      <c r="P70" s="3">
        <v>110.7</v>
      </c>
      <c r="Q70" s="53">
        <f>IF(P70=0,0,MAX(0,1000+10*(G_600_14-P70)*G_600_M))</f>
        <v>468.0999999999999</v>
      </c>
      <c r="R70" s="54">
        <f>SUM(E70,G70,I70,L70,N70,Q70)</f>
        <v>3423.1999999999994</v>
      </c>
    </row>
    <row r="71" spans="1:18" ht="12" customHeight="1" hidden="1" outlineLevel="1">
      <c r="A71" s="76"/>
      <c r="B71" s="45"/>
      <c r="C71" s="79"/>
      <c r="D71" s="49"/>
      <c r="E71" s="48">
        <f>IF(D71=0,0,MAX(0,1000+10*(G_60_14-D71)*G_60_M))</f>
        <v>0</v>
      </c>
      <c r="F71" s="65"/>
      <c r="G71" s="1">
        <f>IF(F71=0,0,MAX(0,TRUNC(1000+100*(F71-G_L_14)*G_L_M)))</f>
        <v>0</v>
      </c>
      <c r="H71" s="65"/>
      <c r="I71" s="4">
        <f>IF(H71=0,0,IF(H71&gt;=G_K1_14,TRUNC(1000+(H71-G_K1_14)*100*G_Kpluss),IF(H71&gt;=G_K2_14,TRUNC(G_80K_14+(H71-G_K2_14)*100*G_Kopp),TRUNC(G_80K_14-(G_K2_14-H71)*100*G_Kned))))</f>
        <v>0</v>
      </c>
      <c r="J71" s="95">
        <f>SUM(E71,G71,I71)</f>
        <v>0</v>
      </c>
      <c r="K71" s="73"/>
      <c r="L71" s="48">
        <f>IF(K71=0,0,MAX(0,1000+10*(G_HK_14-K71)*G_HK_M14))</f>
        <v>0</v>
      </c>
      <c r="M71" s="73"/>
      <c r="N71" s="1">
        <f>IF(M71=0,0,MAX(0,TRUNC(1000+100*(M71-G_H_14)*G_H_M)))</f>
        <v>0</v>
      </c>
      <c r="O71" s="55"/>
      <c r="P71" s="3"/>
      <c r="Q71" s="53">
        <f>IF(P71=0,0,MAX(0,1000+10*(G_600_14-P71)*G_600_M))</f>
        <v>0</v>
      </c>
      <c r="R71" s="54">
        <f>SUM(E71,G71,I71,L71,N71,Q71)</f>
        <v>0</v>
      </c>
    </row>
    <row r="72" spans="1:18" ht="12" customHeight="1" hidden="1" outlineLevel="1">
      <c r="A72" s="76"/>
      <c r="B72" s="45"/>
      <c r="C72" s="79"/>
      <c r="D72" s="49"/>
      <c r="E72" s="48">
        <f>IF(D72=0,0,MAX(0,1000+10*(G_60_14-D72)*G_60_M))</f>
        <v>0</v>
      </c>
      <c r="F72" s="65"/>
      <c r="G72" s="1">
        <f>IF(F72=0,0,MAX(0,TRUNC(1000+100*(F72-G_L_14)*G_L_M)))</f>
        <v>0</v>
      </c>
      <c r="H72" s="65"/>
      <c r="I72" s="4">
        <f>IF(H72=0,0,IF(H72&gt;=G_K1_14,TRUNC(1000+(H72-G_K1_14)*100*G_Kpluss),IF(H72&gt;=G_K2_14,TRUNC(G_80K_14+(H72-G_K2_14)*100*G_Kopp),TRUNC(G_80K_14-(G_K2_14-H72)*100*G_Kned))))</f>
        <v>0</v>
      </c>
      <c r="J72" s="95">
        <f>SUM(E72,G72,I72)</f>
        <v>0</v>
      </c>
      <c r="K72" s="73"/>
      <c r="L72" s="48">
        <f>IF(K72=0,0,MAX(0,1000+10*(G_HK_14-K72)*G_HK_M14))</f>
        <v>0</v>
      </c>
      <c r="M72" s="73"/>
      <c r="N72" s="1">
        <f>IF(M72=0,0,MAX(0,TRUNC(1000+100*(M72-G_H_14)*G_H_M)))</f>
        <v>0</v>
      </c>
      <c r="O72" s="55"/>
      <c r="P72" s="3"/>
      <c r="Q72" s="53">
        <f>IF(P72=0,0,MAX(0,1000+10*(G_600_14-P72)*G_600_M))</f>
        <v>0</v>
      </c>
      <c r="R72" s="54">
        <f>SUM(E72,G72,I72,L72,N72,Q72)</f>
        <v>0</v>
      </c>
    </row>
    <row r="73" spans="1:18" ht="12" customHeight="1" collapsed="1">
      <c r="A73" s="76"/>
      <c r="B73" s="45"/>
      <c r="C73" s="78"/>
      <c r="D73" s="49"/>
      <c r="E73" s="48"/>
      <c r="F73" s="65"/>
      <c r="H73" s="65"/>
      <c r="K73" s="73"/>
      <c r="L73" s="48"/>
      <c r="M73" s="73"/>
      <c r="N73" s="1"/>
      <c r="O73" s="55"/>
      <c r="P73" s="3"/>
      <c r="Q73" s="53"/>
      <c r="R73" s="54"/>
    </row>
    <row r="74" spans="1:18" ht="12" customHeight="1">
      <c r="A74" s="76">
        <f>COUNTA(A39:A71)</f>
        <v>10</v>
      </c>
      <c r="B74" s="45"/>
      <c r="C74" s="76">
        <f>COUNTA(C39:C71)</f>
        <v>13</v>
      </c>
      <c r="D74" s="49"/>
      <c r="E74" s="48"/>
      <c r="F74" s="65"/>
      <c r="H74" s="65"/>
      <c r="K74" s="73"/>
      <c r="L74" s="48"/>
      <c r="M74" s="73"/>
      <c r="N74" s="1"/>
      <c r="O74" s="55"/>
      <c r="P74" s="3"/>
      <c r="Q74" s="53"/>
      <c r="R74" s="54"/>
    </row>
    <row r="75" spans="1:18" ht="24" customHeight="1" hidden="1" outlineLevel="1">
      <c r="A75" s="57" t="s">
        <v>59</v>
      </c>
      <c r="B75" s="46"/>
      <c r="C75" s="47"/>
      <c r="D75" s="64"/>
      <c r="E75" s="48"/>
      <c r="F75" s="49"/>
      <c r="H75" s="50"/>
      <c r="O75" s="52"/>
      <c r="P75" s="3"/>
      <c r="Q75" s="53"/>
      <c r="R75" s="54"/>
    </row>
    <row r="76" spans="1:18" s="66" customFormat="1" ht="20.25" customHeight="1" hidden="1" outlineLevel="1">
      <c r="A76" s="13" t="s">
        <v>25</v>
      </c>
      <c r="D76" s="15"/>
      <c r="E76" s="1"/>
      <c r="F76" s="15"/>
      <c r="G76" s="1"/>
      <c r="H76" s="67"/>
      <c r="I76" s="68"/>
      <c r="J76" s="99"/>
      <c r="K76" s="69"/>
      <c r="L76" s="69"/>
      <c r="M76" s="69"/>
      <c r="N76" s="69"/>
      <c r="O76" s="17"/>
      <c r="P76" s="70"/>
      <c r="Q76" s="68"/>
      <c r="R76" s="71"/>
    </row>
    <row r="77" spans="1:18" s="66" customFormat="1" ht="17.25" customHeight="1" hidden="1" outlineLevel="1">
      <c r="A77" s="13" t="s">
        <v>26</v>
      </c>
      <c r="D77" s="15"/>
      <c r="E77" s="1"/>
      <c r="F77" s="15"/>
      <c r="G77" s="1"/>
      <c r="H77" s="67"/>
      <c r="I77" s="68"/>
      <c r="J77" s="99"/>
      <c r="K77" s="69"/>
      <c r="L77" s="69"/>
      <c r="M77" s="69"/>
      <c r="N77" s="69"/>
      <c r="O77" s="17"/>
      <c r="P77" s="70"/>
      <c r="Q77" s="68"/>
      <c r="R77" s="71"/>
    </row>
    <row r="78" spans="1:18" s="66" customFormat="1" ht="19.5" customHeight="1" hidden="1" outlineLevel="1">
      <c r="A78" s="13" t="s">
        <v>27</v>
      </c>
      <c r="D78" s="15"/>
      <c r="E78" s="1"/>
      <c r="F78" s="15"/>
      <c r="G78" s="1"/>
      <c r="H78" s="67"/>
      <c r="I78" s="68"/>
      <c r="J78" s="99"/>
      <c r="K78" s="69"/>
      <c r="L78" s="69"/>
      <c r="M78" s="69"/>
      <c r="N78" s="69"/>
      <c r="O78" s="17"/>
      <c r="P78" s="70"/>
      <c r="Q78" s="68"/>
      <c r="R78" s="71"/>
    </row>
    <row r="79" spans="1:18" s="66" customFormat="1" ht="12.75" hidden="1" outlineLevel="1">
      <c r="A79" s="13" t="s">
        <v>28</v>
      </c>
      <c r="D79" s="15"/>
      <c r="E79" s="1"/>
      <c r="F79" s="15"/>
      <c r="G79" s="1"/>
      <c r="H79" s="67"/>
      <c r="I79" s="68"/>
      <c r="J79" s="99"/>
      <c r="K79" s="69"/>
      <c r="L79" s="69"/>
      <c r="M79" s="69"/>
      <c r="N79" s="69"/>
      <c r="O79" s="17"/>
      <c r="P79" s="70"/>
      <c r="Q79" s="68"/>
      <c r="R79" s="71"/>
    </row>
    <row r="80" ht="12.75" hidden="1" outlineLevel="1">
      <c r="A80" s="20" t="s">
        <v>51</v>
      </c>
    </row>
    <row r="81" ht="12.75" collapsed="1"/>
  </sheetData>
  <sheetProtection password="C67C"/>
  <printOptions horizontalCentered="1"/>
  <pageMargins left="0.5511811023622047" right="0.3937007874015748" top="0.2362204724409449" bottom="0.3937007874015748" header="0.84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C5" sqref="C5"/>
    </sheetView>
  </sheetViews>
  <sheetFormatPr defaultColWidth="11.421875" defaultRowHeight="12.75" outlineLevelRow="1"/>
  <cols>
    <col min="1" max="1" width="6.00390625" style="13" customWidth="1"/>
    <col min="2" max="2" width="32.140625" style="14" customWidth="1"/>
    <col min="3" max="3" width="19.140625" style="14" customWidth="1"/>
    <col min="4" max="4" width="6.28125" style="101" customWidth="1"/>
    <col min="5" max="16384" width="9.140625" style="14" customWidth="1"/>
  </cols>
  <sheetData>
    <row r="1" ht="28.5" customHeight="1">
      <c r="A1" s="25" t="s">
        <v>104</v>
      </c>
    </row>
    <row r="2" ht="28.5" customHeight="1" outlineLevel="1">
      <c r="A2" s="25" t="s">
        <v>140</v>
      </c>
    </row>
    <row r="3" spans="1:4" ht="19.5">
      <c r="A3" s="28"/>
      <c r="D3" s="101" t="s">
        <v>18</v>
      </c>
    </row>
    <row r="4" spans="1:4" s="4" customFormat="1" ht="12.75" outlineLevel="1">
      <c r="A4" s="1" t="s">
        <v>21</v>
      </c>
      <c r="B4" s="4" t="s">
        <v>22</v>
      </c>
      <c r="C4" s="4" t="s">
        <v>194</v>
      </c>
      <c r="D4" s="8"/>
    </row>
    <row r="5" spans="1:4" s="4" customFormat="1" ht="24" customHeight="1">
      <c r="A5" s="57"/>
      <c r="B5" s="57" t="s">
        <v>74</v>
      </c>
      <c r="C5" s="58" t="s">
        <v>141</v>
      </c>
      <c r="D5" s="103"/>
    </row>
    <row r="6" spans="1:5" s="56" customFormat="1" ht="12" customHeight="1">
      <c r="A6" s="83">
        <v>1</v>
      </c>
      <c r="B6" s="78" t="s">
        <v>86</v>
      </c>
      <c r="C6" s="78" t="s">
        <v>65</v>
      </c>
      <c r="D6" s="82">
        <v>9.57</v>
      </c>
      <c r="E6" s="14"/>
    </row>
    <row r="7" spans="1:5" s="56" customFormat="1" ht="12" customHeight="1">
      <c r="A7" s="83">
        <v>2</v>
      </c>
      <c r="B7" s="78" t="s">
        <v>87</v>
      </c>
      <c r="C7" s="78" t="s">
        <v>65</v>
      </c>
      <c r="D7" s="102">
        <v>10.28</v>
      </c>
      <c r="E7" s="14"/>
    </row>
    <row r="8" spans="1:5" s="56" customFormat="1" ht="12" customHeight="1">
      <c r="A8" s="83">
        <v>3</v>
      </c>
      <c r="B8" s="20" t="s">
        <v>92</v>
      </c>
      <c r="C8" s="78" t="s">
        <v>65</v>
      </c>
      <c r="D8" s="102">
        <v>10.93</v>
      </c>
      <c r="E8" s="14"/>
    </row>
    <row r="9" spans="1:5" s="56" customFormat="1" ht="12" customHeight="1">
      <c r="A9" s="83">
        <v>4</v>
      </c>
      <c r="B9" s="78" t="s">
        <v>85</v>
      </c>
      <c r="C9" s="78" t="s">
        <v>65</v>
      </c>
      <c r="D9" s="102">
        <v>11</v>
      </c>
      <c r="E9" s="14"/>
    </row>
    <row r="10" spans="1:4" ht="23.25" customHeight="1">
      <c r="A10" s="57"/>
      <c r="B10" s="57" t="s">
        <v>75</v>
      </c>
      <c r="C10" s="47"/>
      <c r="D10" s="82"/>
    </row>
    <row r="11" spans="1:4" s="4" customFormat="1" ht="23.25" customHeight="1">
      <c r="A11" s="57"/>
      <c r="B11" s="57" t="s">
        <v>142</v>
      </c>
      <c r="C11" s="58" t="s">
        <v>146</v>
      </c>
      <c r="D11" s="103"/>
    </row>
    <row r="12" spans="1:5" s="56" customFormat="1" ht="12" customHeight="1">
      <c r="A12" s="80">
        <v>1</v>
      </c>
      <c r="B12" s="85" t="s">
        <v>83</v>
      </c>
      <c r="C12" s="56" t="s">
        <v>82</v>
      </c>
      <c r="D12" s="101">
        <v>9.25</v>
      </c>
      <c r="E12" s="14"/>
    </row>
    <row r="13" spans="1:5" s="56" customFormat="1" ht="12" customHeight="1">
      <c r="A13" s="76">
        <v>2</v>
      </c>
      <c r="B13" s="78" t="s">
        <v>121</v>
      </c>
      <c r="C13" s="78" t="s">
        <v>98</v>
      </c>
      <c r="D13" s="101">
        <v>9.66</v>
      </c>
      <c r="E13" s="14"/>
    </row>
    <row r="14" spans="1:5" s="56" customFormat="1" ht="12" customHeight="1">
      <c r="A14" s="83">
        <v>3</v>
      </c>
      <c r="B14" s="78" t="s">
        <v>96</v>
      </c>
      <c r="C14" s="78" t="s">
        <v>98</v>
      </c>
      <c r="D14" s="101">
        <v>9.72</v>
      </c>
      <c r="E14" s="14"/>
    </row>
    <row r="15" spans="1:5" s="56" customFormat="1" ht="12" customHeight="1">
      <c r="A15" s="80">
        <v>4</v>
      </c>
      <c r="B15" s="78" t="s">
        <v>63</v>
      </c>
      <c r="C15" s="78" t="s">
        <v>65</v>
      </c>
      <c r="D15" s="101">
        <v>9.76</v>
      </c>
      <c r="E15" s="14"/>
    </row>
    <row r="16" spans="1:5" s="56" customFormat="1" ht="12" customHeight="1">
      <c r="A16" s="83">
        <v>5</v>
      </c>
      <c r="B16" s="20" t="s">
        <v>89</v>
      </c>
      <c r="C16" s="78" t="s">
        <v>65</v>
      </c>
      <c r="D16" s="101">
        <v>12.1</v>
      </c>
      <c r="E16" s="14"/>
    </row>
    <row r="17" spans="1:4" s="4" customFormat="1" ht="23.25" customHeight="1">
      <c r="A17" s="57"/>
      <c r="B17" s="57" t="s">
        <v>145</v>
      </c>
      <c r="C17" s="58" t="s">
        <v>144</v>
      </c>
      <c r="D17" s="103"/>
    </row>
    <row r="18" spans="1:5" s="56" customFormat="1" ht="12" customHeight="1">
      <c r="A18" s="76">
        <v>1</v>
      </c>
      <c r="B18" s="78" t="s">
        <v>110</v>
      </c>
      <c r="C18" s="78" t="s">
        <v>1</v>
      </c>
      <c r="D18" s="101">
        <v>9.22</v>
      </c>
      <c r="E18" s="14"/>
    </row>
    <row r="19" spans="1:5" s="56" customFormat="1" ht="12" customHeight="1">
      <c r="A19" s="83">
        <v>2</v>
      </c>
      <c r="B19" s="20" t="s">
        <v>88</v>
      </c>
      <c r="C19" s="78" t="s">
        <v>65</v>
      </c>
      <c r="D19" s="101">
        <v>9.42</v>
      </c>
      <c r="E19" s="14"/>
    </row>
    <row r="20" spans="1:5" s="56" customFormat="1" ht="12" customHeight="1">
      <c r="A20" s="76">
        <v>3</v>
      </c>
      <c r="B20" s="78" t="s">
        <v>66</v>
      </c>
      <c r="C20" s="78" t="s">
        <v>98</v>
      </c>
      <c r="D20" s="101">
        <v>9.63</v>
      </c>
      <c r="E20" s="14"/>
    </row>
    <row r="21" spans="1:5" s="56" customFormat="1" ht="12" customHeight="1">
      <c r="A21" s="76">
        <v>4</v>
      </c>
      <c r="B21" s="78" t="s">
        <v>97</v>
      </c>
      <c r="C21" s="78" t="s">
        <v>98</v>
      </c>
      <c r="D21" s="101">
        <v>9.79</v>
      </c>
      <c r="E21" s="14"/>
    </row>
    <row r="22" spans="1:5" s="56" customFormat="1" ht="12" customHeight="1">
      <c r="A22" s="83">
        <v>5</v>
      </c>
      <c r="B22" s="78" t="s">
        <v>62</v>
      </c>
      <c r="C22" s="78" t="s">
        <v>65</v>
      </c>
      <c r="D22" s="101">
        <v>10.15</v>
      </c>
      <c r="E22" s="14"/>
    </row>
    <row r="23" spans="1:5" s="56" customFormat="1" ht="12" customHeight="1">
      <c r="A23" s="80">
        <v>6</v>
      </c>
      <c r="B23" s="85" t="s">
        <v>84</v>
      </c>
      <c r="C23" s="56" t="s">
        <v>82</v>
      </c>
      <c r="D23" s="101">
        <v>10.37</v>
      </c>
      <c r="E23" s="14"/>
    </row>
    <row r="24" spans="1:4" s="4" customFormat="1" ht="23.25" customHeight="1">
      <c r="A24" s="1"/>
      <c r="B24" s="57" t="s">
        <v>76</v>
      </c>
      <c r="C24" s="58" t="s">
        <v>143</v>
      </c>
      <c r="D24" s="103"/>
    </row>
    <row r="25" spans="1:4" ht="12" customHeight="1">
      <c r="A25" s="76">
        <v>1</v>
      </c>
      <c r="B25" s="20" t="s">
        <v>77</v>
      </c>
      <c r="C25" s="78" t="s">
        <v>80</v>
      </c>
      <c r="D25" s="82">
        <v>10.18</v>
      </c>
    </row>
    <row r="26" spans="1:4" ht="12" customHeight="1">
      <c r="A26" s="83">
        <v>2</v>
      </c>
      <c r="B26" s="20" t="s">
        <v>64</v>
      </c>
      <c r="C26" s="78" t="s">
        <v>65</v>
      </c>
      <c r="D26" s="82">
        <v>10.37</v>
      </c>
    </row>
    <row r="27" spans="1:4" ht="25.5" customHeight="1">
      <c r="A27" s="38"/>
      <c r="B27" s="38" t="s">
        <v>147</v>
      </c>
      <c r="C27" s="37" t="s">
        <v>148</v>
      </c>
      <c r="D27" s="39"/>
    </row>
    <row r="28" spans="1:4" ht="12.75">
      <c r="A28" s="76">
        <v>1</v>
      </c>
      <c r="B28" s="78" t="s">
        <v>149</v>
      </c>
      <c r="C28" s="78" t="s">
        <v>109</v>
      </c>
      <c r="D28" s="49">
        <v>8.49</v>
      </c>
    </row>
    <row r="29" spans="1:4" ht="12.75">
      <c r="A29" s="76">
        <v>2</v>
      </c>
      <c r="B29" s="20" t="s">
        <v>154</v>
      </c>
      <c r="C29" s="78" t="s">
        <v>57</v>
      </c>
      <c r="D29" s="49">
        <v>8.97</v>
      </c>
    </row>
    <row r="30" spans="1:4" ht="12.75">
      <c r="A30" s="76">
        <v>3</v>
      </c>
      <c r="B30" s="56" t="s">
        <v>150</v>
      </c>
      <c r="C30" s="56" t="s">
        <v>1</v>
      </c>
      <c r="D30" s="49">
        <v>9.09</v>
      </c>
    </row>
    <row r="31" spans="1:4" ht="12.75">
      <c r="A31" s="76">
        <v>4</v>
      </c>
      <c r="B31" s="56" t="s">
        <v>151</v>
      </c>
      <c r="C31" s="56" t="s">
        <v>1</v>
      </c>
      <c r="D31" s="49">
        <v>9.14</v>
      </c>
    </row>
    <row r="32" spans="1:4" ht="12.75">
      <c r="A32" s="76">
        <v>5</v>
      </c>
      <c r="B32" s="78" t="s">
        <v>152</v>
      </c>
      <c r="C32" s="78" t="s">
        <v>65</v>
      </c>
      <c r="D32" s="49">
        <v>9.38</v>
      </c>
    </row>
    <row r="33" spans="1:4" ht="12.75">
      <c r="A33" s="76">
        <v>6</v>
      </c>
      <c r="B33" s="45" t="s">
        <v>153</v>
      </c>
      <c r="C33" s="78" t="s">
        <v>65</v>
      </c>
      <c r="D33" s="49">
        <v>10.1</v>
      </c>
    </row>
    <row r="34" spans="1:4" s="4" customFormat="1" ht="23.25" customHeight="1">
      <c r="A34" s="57"/>
      <c r="B34" s="57" t="s">
        <v>69</v>
      </c>
      <c r="C34" s="58" t="s">
        <v>155</v>
      </c>
      <c r="D34" s="60"/>
    </row>
    <row r="35" spans="1:4" ht="12.75">
      <c r="A35" s="76">
        <v>1</v>
      </c>
      <c r="B35" s="78" t="s">
        <v>120</v>
      </c>
      <c r="C35" s="78" t="s">
        <v>1</v>
      </c>
      <c r="D35" s="49">
        <v>8.5</v>
      </c>
    </row>
    <row r="36" spans="1:4" ht="12.75">
      <c r="A36" s="76">
        <v>2</v>
      </c>
      <c r="B36" s="78" t="s">
        <v>54</v>
      </c>
      <c r="C36" s="78" t="s">
        <v>80</v>
      </c>
      <c r="D36" s="49">
        <v>8.65</v>
      </c>
    </row>
    <row r="37" spans="1:4" ht="12.75">
      <c r="A37" s="76">
        <v>3</v>
      </c>
      <c r="B37" s="78" t="s">
        <v>53</v>
      </c>
      <c r="C37" s="78" t="s">
        <v>80</v>
      </c>
      <c r="D37" s="49">
        <v>8.66</v>
      </c>
    </row>
    <row r="38" spans="1:4" ht="12.75">
      <c r="A38" s="76">
        <v>4</v>
      </c>
      <c r="B38" s="78" t="s">
        <v>78</v>
      </c>
      <c r="C38" s="78" t="s">
        <v>79</v>
      </c>
      <c r="D38" s="49">
        <v>8.89</v>
      </c>
    </row>
    <row r="39" spans="1:4" ht="12.75">
      <c r="A39" s="76">
        <v>5</v>
      </c>
      <c r="B39" s="78" t="s">
        <v>95</v>
      </c>
      <c r="C39" s="78" t="s">
        <v>65</v>
      </c>
      <c r="D39" s="49">
        <v>9.41</v>
      </c>
    </row>
    <row r="40" spans="1:4" s="4" customFormat="1" ht="24.75" customHeight="1">
      <c r="A40" s="57"/>
      <c r="B40" s="57" t="s">
        <v>70</v>
      </c>
      <c r="C40" s="58" t="s">
        <v>156</v>
      </c>
      <c r="D40" s="39"/>
    </row>
    <row r="41" spans="1:4" ht="12.75">
      <c r="A41" s="76">
        <v>1</v>
      </c>
      <c r="B41" s="45" t="s">
        <v>116</v>
      </c>
      <c r="C41" s="78" t="s">
        <v>115</v>
      </c>
      <c r="D41" s="49">
        <v>8.2</v>
      </c>
    </row>
    <row r="42" spans="1:4" ht="12.75">
      <c r="A42" s="80">
        <v>2</v>
      </c>
      <c r="B42" s="20" t="s">
        <v>117</v>
      </c>
      <c r="C42" s="78" t="s">
        <v>115</v>
      </c>
      <c r="D42" s="49">
        <v>8.31</v>
      </c>
    </row>
    <row r="43" spans="2:3" ht="27.75" customHeight="1">
      <c r="B43" s="38" t="s">
        <v>71</v>
      </c>
      <c r="C43" s="58" t="s">
        <v>189</v>
      </c>
    </row>
    <row r="44" spans="1:4" ht="12.75">
      <c r="A44" s="76">
        <v>1</v>
      </c>
      <c r="B44" s="56" t="s">
        <v>100</v>
      </c>
      <c r="C44" s="78" t="s">
        <v>101</v>
      </c>
      <c r="D44" s="21">
        <v>9.86</v>
      </c>
    </row>
    <row r="45" spans="1:4" ht="12.75">
      <c r="A45" s="76">
        <v>2</v>
      </c>
      <c r="B45" s="56" t="s">
        <v>160</v>
      </c>
      <c r="C45" s="78" t="s">
        <v>98</v>
      </c>
      <c r="D45" s="16">
        <v>12.03</v>
      </c>
    </row>
    <row r="46" spans="1:4" ht="12.75">
      <c r="A46" s="76">
        <v>3</v>
      </c>
      <c r="B46" s="56" t="s">
        <v>99</v>
      </c>
      <c r="C46" s="78" t="s">
        <v>98</v>
      </c>
      <c r="D46" s="16">
        <v>12.59</v>
      </c>
    </row>
    <row r="47" spans="1:4" ht="24.75" customHeight="1">
      <c r="A47" s="38"/>
      <c r="B47" s="38" t="s">
        <v>72</v>
      </c>
      <c r="C47" s="58" t="s">
        <v>190</v>
      </c>
      <c r="D47" s="39"/>
    </row>
    <row r="48" spans="1:4" ht="12.75">
      <c r="A48" s="76"/>
      <c r="B48" s="56" t="s">
        <v>111</v>
      </c>
      <c r="C48" s="56" t="s">
        <v>1</v>
      </c>
      <c r="D48" s="49">
        <v>9.89</v>
      </c>
    </row>
    <row r="49" spans="1:4" ht="12.75">
      <c r="A49" s="76"/>
      <c r="B49" s="20" t="s">
        <v>102</v>
      </c>
      <c r="C49" s="78" t="s">
        <v>57</v>
      </c>
      <c r="D49" s="49">
        <v>10.21</v>
      </c>
    </row>
    <row r="50" spans="1:4" ht="12.75">
      <c r="A50" s="76"/>
      <c r="B50" s="78" t="s">
        <v>90</v>
      </c>
      <c r="C50" s="78" t="s">
        <v>65</v>
      </c>
      <c r="D50" s="49">
        <v>10.55</v>
      </c>
    </row>
    <row r="51" spans="1:4" ht="12.75">
      <c r="A51" s="76"/>
      <c r="B51" s="20" t="s">
        <v>91</v>
      </c>
      <c r="C51" s="78" t="s">
        <v>65</v>
      </c>
      <c r="D51" s="49">
        <v>10.87</v>
      </c>
    </row>
    <row r="52" spans="1:4" s="4" customFormat="1" ht="23.25" customHeight="1">
      <c r="A52" s="57"/>
      <c r="B52" s="57" t="s">
        <v>145</v>
      </c>
      <c r="C52" s="58" t="s">
        <v>191</v>
      </c>
      <c r="D52" s="103"/>
    </row>
    <row r="53" spans="1:4" ht="12.75">
      <c r="A53" s="76"/>
      <c r="B53" s="45" t="s">
        <v>118</v>
      </c>
      <c r="C53" s="56" t="s">
        <v>82</v>
      </c>
      <c r="D53" s="49">
        <v>9.55</v>
      </c>
    </row>
    <row r="54" spans="1:4" ht="12.75">
      <c r="A54" s="76"/>
      <c r="B54" s="45" t="s">
        <v>161</v>
      </c>
      <c r="C54" s="56" t="s">
        <v>57</v>
      </c>
      <c r="D54" s="49">
        <v>9.57</v>
      </c>
    </row>
    <row r="55" spans="1:4" ht="12.75">
      <c r="A55" s="76"/>
      <c r="B55" s="45" t="s">
        <v>112</v>
      </c>
      <c r="C55" s="56" t="s">
        <v>1</v>
      </c>
      <c r="D55" s="49">
        <v>10.24</v>
      </c>
    </row>
    <row r="56" spans="1:4" ht="12.75">
      <c r="A56" s="76"/>
      <c r="B56" s="20" t="s">
        <v>107</v>
      </c>
      <c r="C56" s="78" t="s">
        <v>65</v>
      </c>
      <c r="D56" s="49">
        <v>10.89</v>
      </c>
    </row>
    <row r="57" spans="1:4" ht="26.25" customHeight="1">
      <c r="A57" s="57"/>
      <c r="B57" s="57" t="s">
        <v>73</v>
      </c>
      <c r="C57" s="58" t="s">
        <v>192</v>
      </c>
      <c r="D57" s="60"/>
    </row>
    <row r="58" spans="1:4" ht="12.75">
      <c r="A58" s="76">
        <v>1</v>
      </c>
      <c r="B58" s="20" t="s">
        <v>163</v>
      </c>
      <c r="C58" s="56" t="s">
        <v>57</v>
      </c>
      <c r="D58" s="49">
        <v>9.36</v>
      </c>
    </row>
    <row r="59" spans="1:4" ht="12.75">
      <c r="A59" s="76">
        <v>2</v>
      </c>
      <c r="B59" s="20" t="s">
        <v>103</v>
      </c>
      <c r="C59" s="78" t="s">
        <v>57</v>
      </c>
      <c r="D59" s="49">
        <v>9.49</v>
      </c>
    </row>
    <row r="60" spans="1:4" ht="12.75">
      <c r="A60" s="76">
        <v>3</v>
      </c>
      <c r="B60" s="56" t="s">
        <v>93</v>
      </c>
      <c r="C60" s="78" t="s">
        <v>65</v>
      </c>
      <c r="D60" s="49">
        <v>9.59</v>
      </c>
    </row>
    <row r="61" spans="1:4" ht="12.75">
      <c r="A61" s="76">
        <v>4</v>
      </c>
      <c r="B61" s="20" t="s">
        <v>81</v>
      </c>
      <c r="C61" s="56" t="s">
        <v>82</v>
      </c>
      <c r="D61" s="49">
        <v>9.7</v>
      </c>
    </row>
    <row r="62" spans="1:4" ht="12.75">
      <c r="A62" s="76">
        <v>5</v>
      </c>
      <c r="B62" s="20" t="s">
        <v>119</v>
      </c>
      <c r="C62" s="56" t="s">
        <v>82</v>
      </c>
      <c r="D62" s="49">
        <v>9.73</v>
      </c>
    </row>
    <row r="63" spans="1:4" ht="12.75">
      <c r="A63" s="76">
        <v>6</v>
      </c>
      <c r="B63" s="78" t="s">
        <v>61</v>
      </c>
      <c r="C63" s="78" t="s">
        <v>52</v>
      </c>
      <c r="D63" s="49">
        <v>10.29</v>
      </c>
    </row>
  </sheetData>
  <sheetProtection password="C67C"/>
  <printOptions horizontalCentered="1"/>
  <pageMargins left="0.5511811023622047" right="0.3937007874015748" top="0.2362204724409449" bottom="0.21" header="0.84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A3" sqref="A3"/>
    </sheetView>
  </sheetViews>
  <sheetFormatPr defaultColWidth="11.421875" defaultRowHeight="12.75" outlineLevelRow="1"/>
  <cols>
    <col min="1" max="1" width="6.00390625" style="13" customWidth="1"/>
    <col min="2" max="2" width="24.7109375" style="14" customWidth="1"/>
    <col min="3" max="3" width="19.140625" style="14" customWidth="1"/>
    <col min="4" max="4" width="6.8515625" style="15" customWidth="1"/>
    <col min="5" max="5" width="9.140625" style="104" customWidth="1"/>
    <col min="6" max="16384" width="9.140625" style="14" customWidth="1"/>
  </cols>
  <sheetData>
    <row r="1" ht="28.5" customHeight="1">
      <c r="A1" s="25" t="s">
        <v>104</v>
      </c>
    </row>
    <row r="2" ht="28.5" customHeight="1" outlineLevel="1">
      <c r="A2" s="25" t="s">
        <v>193</v>
      </c>
    </row>
    <row r="3" spans="1:5" s="4" customFormat="1" ht="12.75" outlineLevel="1">
      <c r="A3" s="1" t="s">
        <v>21</v>
      </c>
      <c r="B3" s="4" t="s">
        <v>22</v>
      </c>
      <c r="C3" s="4" t="s">
        <v>23</v>
      </c>
      <c r="D3" s="5"/>
      <c r="E3" s="9" t="s">
        <v>157</v>
      </c>
    </row>
    <row r="4" spans="1:4" ht="24" customHeight="1">
      <c r="A4" s="57"/>
      <c r="B4" s="57" t="s">
        <v>74</v>
      </c>
      <c r="C4" s="47"/>
      <c r="D4" s="49"/>
    </row>
    <row r="5" spans="1:5" s="56" customFormat="1" ht="12" customHeight="1">
      <c r="A5" s="83">
        <v>1</v>
      </c>
      <c r="B5" s="78" t="s">
        <v>86</v>
      </c>
      <c r="C5" s="78" t="s">
        <v>65</v>
      </c>
      <c r="D5" s="49">
        <v>3.85</v>
      </c>
      <c r="E5" s="17">
        <v>1.4</v>
      </c>
    </row>
    <row r="6" spans="1:6" s="56" customFormat="1" ht="12" customHeight="1">
      <c r="A6" s="83">
        <v>2</v>
      </c>
      <c r="B6" s="78" t="s">
        <v>87</v>
      </c>
      <c r="C6" s="78" t="s">
        <v>65</v>
      </c>
      <c r="D6" s="49">
        <v>3.14</v>
      </c>
      <c r="E6" s="17">
        <v>2.3</v>
      </c>
      <c r="F6" s="56" t="s">
        <v>159</v>
      </c>
    </row>
    <row r="7" spans="1:5" s="56" customFormat="1" ht="12" customHeight="1">
      <c r="A7" s="83">
        <v>3</v>
      </c>
      <c r="B7" s="20" t="s">
        <v>92</v>
      </c>
      <c r="C7" s="78" t="s">
        <v>65</v>
      </c>
      <c r="D7" s="49">
        <v>2.74</v>
      </c>
      <c r="E7" s="17">
        <v>0.7</v>
      </c>
    </row>
    <row r="8" spans="1:5" s="56" customFormat="1" ht="12" customHeight="1">
      <c r="A8" s="83">
        <v>4</v>
      </c>
      <c r="B8" s="78" t="s">
        <v>85</v>
      </c>
      <c r="C8" s="78" t="s">
        <v>65</v>
      </c>
      <c r="D8" s="49">
        <v>2.67</v>
      </c>
      <c r="E8" s="17" t="s">
        <v>158</v>
      </c>
    </row>
    <row r="9" spans="1:4" ht="23.25" customHeight="1">
      <c r="A9" s="57"/>
      <c r="B9" s="57" t="s">
        <v>75</v>
      </c>
      <c r="C9" s="47"/>
      <c r="D9" s="49"/>
    </row>
    <row r="10" spans="1:5" s="56" customFormat="1" ht="12" customHeight="1">
      <c r="A10" s="76">
        <v>1</v>
      </c>
      <c r="B10" s="78" t="s">
        <v>121</v>
      </c>
      <c r="C10" s="78" t="s">
        <v>98</v>
      </c>
      <c r="D10" s="49">
        <v>4.03</v>
      </c>
      <c r="E10" s="17">
        <v>-0.5</v>
      </c>
    </row>
    <row r="11" spans="1:5" s="56" customFormat="1" ht="12" customHeight="1">
      <c r="A11" s="80">
        <v>2</v>
      </c>
      <c r="B11" s="85" t="s">
        <v>83</v>
      </c>
      <c r="C11" s="56" t="s">
        <v>82</v>
      </c>
      <c r="D11" s="49">
        <v>3.93</v>
      </c>
      <c r="E11" s="17">
        <v>-0.4</v>
      </c>
    </row>
    <row r="12" spans="1:5" s="56" customFormat="1" ht="12" customHeight="1">
      <c r="A12" s="76">
        <v>3</v>
      </c>
      <c r="B12" s="78" t="s">
        <v>110</v>
      </c>
      <c r="C12" s="78" t="s">
        <v>1</v>
      </c>
      <c r="D12" s="49">
        <v>3.9</v>
      </c>
      <c r="E12" s="17">
        <v>1.2</v>
      </c>
    </row>
    <row r="13" spans="1:5" s="56" customFormat="1" ht="12" customHeight="1">
      <c r="A13" s="83">
        <v>4</v>
      </c>
      <c r="B13" s="20" t="s">
        <v>88</v>
      </c>
      <c r="C13" s="78" t="s">
        <v>65</v>
      </c>
      <c r="D13" s="49">
        <v>3.89</v>
      </c>
      <c r="E13" s="17" t="s">
        <v>158</v>
      </c>
    </row>
    <row r="14" spans="1:5" s="56" customFormat="1" ht="12" customHeight="1">
      <c r="A14" s="76">
        <v>5</v>
      </c>
      <c r="B14" s="78" t="s">
        <v>66</v>
      </c>
      <c r="C14" s="78" t="s">
        <v>98</v>
      </c>
      <c r="D14" s="49">
        <v>3.89</v>
      </c>
      <c r="E14" s="17">
        <v>-0.8</v>
      </c>
    </row>
    <row r="15" spans="1:5" s="56" customFormat="1" ht="12" customHeight="1">
      <c r="A15" s="76">
        <v>6</v>
      </c>
      <c r="B15" s="78" t="s">
        <v>97</v>
      </c>
      <c r="C15" s="78" t="s">
        <v>98</v>
      </c>
      <c r="D15" s="49">
        <v>3.69</v>
      </c>
      <c r="E15" s="17" t="s">
        <v>158</v>
      </c>
    </row>
    <row r="16" spans="1:5" s="56" customFormat="1" ht="12" customHeight="1">
      <c r="A16" s="83">
        <v>7</v>
      </c>
      <c r="B16" s="78" t="s">
        <v>96</v>
      </c>
      <c r="C16" s="78" t="s">
        <v>98</v>
      </c>
      <c r="D16" s="49">
        <v>3.53</v>
      </c>
      <c r="E16" s="17" t="s">
        <v>158</v>
      </c>
    </row>
    <row r="17" spans="1:5" s="56" customFormat="1" ht="12" customHeight="1">
      <c r="A17" s="80">
        <v>8</v>
      </c>
      <c r="B17" s="78" t="s">
        <v>63</v>
      </c>
      <c r="C17" s="78" t="s">
        <v>65</v>
      </c>
      <c r="D17" s="49">
        <v>3.46</v>
      </c>
      <c r="E17" s="17">
        <v>0.8</v>
      </c>
    </row>
    <row r="18" spans="1:5" s="56" customFormat="1" ht="12" customHeight="1">
      <c r="A18" s="80">
        <v>9</v>
      </c>
      <c r="B18" s="85" t="s">
        <v>84</v>
      </c>
      <c r="C18" s="56" t="s">
        <v>82</v>
      </c>
      <c r="D18" s="49">
        <v>3.32</v>
      </c>
      <c r="E18" s="17">
        <v>1.2</v>
      </c>
    </row>
    <row r="19" spans="1:5" s="56" customFormat="1" ht="12" customHeight="1">
      <c r="A19" s="83">
        <v>10</v>
      </c>
      <c r="B19" s="78" t="s">
        <v>62</v>
      </c>
      <c r="C19" s="78" t="s">
        <v>65</v>
      </c>
      <c r="D19" s="49">
        <v>3.3</v>
      </c>
      <c r="E19" s="17">
        <v>1.3</v>
      </c>
    </row>
    <row r="20" spans="2:4" ht="23.25" customHeight="1">
      <c r="B20" s="57" t="s">
        <v>76</v>
      </c>
      <c r="C20" s="47"/>
      <c r="D20" s="49"/>
    </row>
    <row r="21" spans="1:5" ht="12" customHeight="1">
      <c r="A21" s="83">
        <v>1</v>
      </c>
      <c r="B21" s="20" t="s">
        <v>64</v>
      </c>
      <c r="C21" s="78" t="s">
        <v>65</v>
      </c>
      <c r="D21" s="49">
        <v>3.19</v>
      </c>
      <c r="E21" s="17" t="s">
        <v>158</v>
      </c>
    </row>
    <row r="22" spans="1:5" ht="12" customHeight="1">
      <c r="A22" s="76">
        <v>2</v>
      </c>
      <c r="B22" s="20" t="s">
        <v>77</v>
      </c>
      <c r="C22" s="78" t="s">
        <v>80</v>
      </c>
      <c r="D22" s="49">
        <v>3.06</v>
      </c>
      <c r="E22" s="17" t="s">
        <v>158</v>
      </c>
    </row>
    <row r="23" spans="1:5" ht="24.75" customHeight="1">
      <c r="A23" s="38"/>
      <c r="B23" s="38" t="s">
        <v>67</v>
      </c>
      <c r="C23" s="37"/>
      <c r="D23" s="39"/>
      <c r="E23" s="105"/>
    </row>
    <row r="24" spans="1:5" ht="12.75">
      <c r="A24" s="76">
        <v>1</v>
      </c>
      <c r="B24" s="20" t="s">
        <v>56</v>
      </c>
      <c r="C24" s="78" t="s">
        <v>57</v>
      </c>
      <c r="D24" s="49">
        <v>4.6</v>
      </c>
      <c r="E24" s="104">
        <v>0.9</v>
      </c>
    </row>
    <row r="25" spans="1:5" ht="12.75">
      <c r="A25" s="76">
        <v>2</v>
      </c>
      <c r="B25" s="45" t="s">
        <v>55</v>
      </c>
      <c r="C25" s="78" t="s">
        <v>65</v>
      </c>
      <c r="D25" s="49">
        <v>3.61</v>
      </c>
      <c r="E25" s="104">
        <v>0.9</v>
      </c>
    </row>
    <row r="26" spans="1:5" ht="12.75">
      <c r="A26" s="76">
        <v>3</v>
      </c>
      <c r="B26" s="78" t="s">
        <v>94</v>
      </c>
      <c r="C26" s="78" t="s">
        <v>65</v>
      </c>
      <c r="D26" s="49">
        <v>2.89</v>
      </c>
      <c r="E26" s="104">
        <v>0.8</v>
      </c>
    </row>
    <row r="27" spans="1:4" ht="24.75" customHeight="1">
      <c r="A27" s="57"/>
      <c r="B27" s="57" t="s">
        <v>68</v>
      </c>
      <c r="C27" s="58"/>
      <c r="D27" s="60"/>
    </row>
    <row r="28" spans="1:5" ht="12.75">
      <c r="A28" s="76">
        <v>1</v>
      </c>
      <c r="B28" s="78" t="s">
        <v>108</v>
      </c>
      <c r="C28" s="78" t="s">
        <v>109</v>
      </c>
      <c r="D28" s="49">
        <v>4.71</v>
      </c>
      <c r="E28" s="17" t="s">
        <v>158</v>
      </c>
    </row>
    <row r="29" spans="1:5" ht="12.75">
      <c r="A29" s="76">
        <v>2</v>
      </c>
      <c r="B29" s="56" t="s">
        <v>113</v>
      </c>
      <c r="C29" s="56" t="s">
        <v>1</v>
      </c>
      <c r="D29" s="49">
        <v>4.42</v>
      </c>
      <c r="E29" s="104">
        <v>0.4</v>
      </c>
    </row>
    <row r="30" spans="1:5" ht="12.75">
      <c r="A30" s="76">
        <v>3</v>
      </c>
      <c r="B30" s="56" t="s">
        <v>114</v>
      </c>
      <c r="C30" s="56" t="s">
        <v>1</v>
      </c>
      <c r="D30" s="49">
        <v>4.33</v>
      </c>
      <c r="E30" s="17" t="s">
        <v>158</v>
      </c>
    </row>
    <row r="31" spans="1:4" ht="24.75" customHeight="1">
      <c r="A31" s="57"/>
      <c r="B31" s="57" t="s">
        <v>69</v>
      </c>
      <c r="C31" s="47"/>
      <c r="D31" s="49"/>
    </row>
    <row r="32" spans="1:5" ht="12.75">
      <c r="A32" s="76">
        <v>1</v>
      </c>
      <c r="B32" s="78" t="s">
        <v>120</v>
      </c>
      <c r="C32" s="78" t="s">
        <v>1</v>
      </c>
      <c r="D32" s="49">
        <v>4.8</v>
      </c>
      <c r="E32" s="104">
        <v>1.4</v>
      </c>
    </row>
    <row r="33" spans="1:5" ht="12.75">
      <c r="A33" s="76">
        <v>2</v>
      </c>
      <c r="B33" s="78" t="s">
        <v>78</v>
      </c>
      <c r="C33" s="78" t="s">
        <v>79</v>
      </c>
      <c r="D33" s="49">
        <v>4.2</v>
      </c>
      <c r="E33" s="104">
        <v>1.6</v>
      </c>
    </row>
    <row r="34" spans="1:5" ht="12.75">
      <c r="A34" s="76">
        <v>3</v>
      </c>
      <c r="B34" s="78" t="s">
        <v>54</v>
      </c>
      <c r="C34" s="78" t="s">
        <v>80</v>
      </c>
      <c r="D34" s="49">
        <v>4.19</v>
      </c>
      <c r="E34" s="104">
        <v>0.9</v>
      </c>
    </row>
    <row r="35" spans="1:5" ht="12.75">
      <c r="A35" s="76">
        <v>4</v>
      </c>
      <c r="B35" s="78" t="s">
        <v>53</v>
      </c>
      <c r="C35" s="78" t="s">
        <v>80</v>
      </c>
      <c r="D35" s="49">
        <v>4.59</v>
      </c>
      <c r="E35" s="17" t="s">
        <v>158</v>
      </c>
    </row>
    <row r="36" spans="1:5" ht="12.75">
      <c r="A36" s="76">
        <v>5</v>
      </c>
      <c r="B36" s="78" t="s">
        <v>95</v>
      </c>
      <c r="C36" s="78" t="s">
        <v>65</v>
      </c>
      <c r="D36" s="49">
        <v>3.69</v>
      </c>
      <c r="E36" s="104">
        <v>0.9</v>
      </c>
    </row>
    <row r="37" spans="1:4" ht="24" customHeight="1">
      <c r="A37" s="57"/>
      <c r="B37" s="57" t="s">
        <v>70</v>
      </c>
      <c r="C37" s="47"/>
      <c r="D37" s="49"/>
    </row>
    <row r="38" spans="1:5" ht="12.75">
      <c r="A38" s="80">
        <v>1</v>
      </c>
      <c r="B38" s="20" t="s">
        <v>117</v>
      </c>
      <c r="C38" s="78" t="s">
        <v>115</v>
      </c>
      <c r="D38" s="49">
        <v>4.91</v>
      </c>
      <c r="E38" s="104">
        <v>0.5</v>
      </c>
    </row>
    <row r="39" spans="1:5" ht="12.75">
      <c r="A39" s="76">
        <v>2</v>
      </c>
      <c r="B39" s="45" t="s">
        <v>116</v>
      </c>
      <c r="C39" s="78" t="s">
        <v>115</v>
      </c>
      <c r="D39" s="65">
        <v>4.11</v>
      </c>
      <c r="E39" s="17" t="s">
        <v>158</v>
      </c>
    </row>
    <row r="40" spans="1:7" ht="26.25" customHeight="1">
      <c r="A40" s="57"/>
      <c r="B40" s="57" t="s">
        <v>71</v>
      </c>
      <c r="C40" s="47"/>
      <c r="D40" s="49"/>
      <c r="E40" s="48"/>
      <c r="F40" s="49"/>
      <c r="G40" s="1"/>
    </row>
    <row r="41" spans="1:7" ht="12.75">
      <c r="A41" s="76">
        <v>1</v>
      </c>
      <c r="B41" s="56" t="s">
        <v>100</v>
      </c>
      <c r="C41" s="78" t="s">
        <v>101</v>
      </c>
      <c r="D41" s="49">
        <v>3.75</v>
      </c>
      <c r="E41" s="109">
        <v>-1.3</v>
      </c>
      <c r="G41" s="1"/>
    </row>
    <row r="42" spans="1:7" ht="12.75">
      <c r="A42" s="76">
        <v>2</v>
      </c>
      <c r="B42" s="56" t="s">
        <v>160</v>
      </c>
      <c r="C42" s="78" t="s">
        <v>98</v>
      </c>
      <c r="D42" s="49">
        <v>2.76</v>
      </c>
      <c r="E42" s="17" t="s">
        <v>158</v>
      </c>
      <c r="G42" s="1"/>
    </row>
    <row r="43" spans="1:7" ht="12.75">
      <c r="A43" s="76">
        <v>3</v>
      </c>
      <c r="B43" s="56" t="s">
        <v>99</v>
      </c>
      <c r="C43" s="78" t="s">
        <v>98</v>
      </c>
      <c r="D43" s="49">
        <v>2.76</v>
      </c>
      <c r="E43" s="109">
        <v>-1.6</v>
      </c>
      <c r="G43" s="1"/>
    </row>
    <row r="44" spans="1:7" ht="24.75" customHeight="1">
      <c r="A44" s="38"/>
      <c r="B44" s="38" t="s">
        <v>72</v>
      </c>
      <c r="C44" s="37"/>
      <c r="D44" s="39"/>
      <c r="E44" s="64"/>
      <c r="G44" s="89"/>
    </row>
    <row r="45" spans="1:7" ht="12.75">
      <c r="A45" s="76">
        <v>1</v>
      </c>
      <c r="B45" s="45" t="s">
        <v>161</v>
      </c>
      <c r="C45" s="56" t="s">
        <v>57</v>
      </c>
      <c r="D45" s="49">
        <v>4.06</v>
      </c>
      <c r="E45" s="109">
        <v>-0.4</v>
      </c>
      <c r="G45" s="1"/>
    </row>
    <row r="46" spans="1:7" ht="12.75">
      <c r="A46" s="76">
        <v>2</v>
      </c>
      <c r="B46" s="45" t="s">
        <v>118</v>
      </c>
      <c r="C46" s="56" t="s">
        <v>82</v>
      </c>
      <c r="D46" s="49">
        <v>3.82</v>
      </c>
      <c r="E46" s="109">
        <v>-1.2</v>
      </c>
      <c r="G46" s="1"/>
    </row>
    <row r="47" spans="1:7" ht="12.75">
      <c r="A47" s="76">
        <v>3</v>
      </c>
      <c r="B47" s="56" t="s">
        <v>111</v>
      </c>
      <c r="C47" s="56" t="s">
        <v>1</v>
      </c>
      <c r="D47" s="49">
        <v>3.64</v>
      </c>
      <c r="E47" s="109">
        <v>-2</v>
      </c>
      <c r="G47" s="1"/>
    </row>
    <row r="48" spans="1:7" ht="12.75">
      <c r="A48" s="76">
        <v>4</v>
      </c>
      <c r="B48" s="20" t="s">
        <v>102</v>
      </c>
      <c r="C48" s="78" t="s">
        <v>57</v>
      </c>
      <c r="D48" s="49">
        <v>3.5</v>
      </c>
      <c r="E48" s="109">
        <v>1.1</v>
      </c>
      <c r="G48" s="1"/>
    </row>
    <row r="49" spans="1:7" ht="12.75">
      <c r="A49" s="76">
        <v>5</v>
      </c>
      <c r="B49" s="45" t="s">
        <v>112</v>
      </c>
      <c r="C49" s="56" t="s">
        <v>1</v>
      </c>
      <c r="D49" s="49">
        <v>3.4</v>
      </c>
      <c r="E49" s="109">
        <v>-1.6</v>
      </c>
      <c r="G49" s="1"/>
    </row>
    <row r="50" spans="1:7" ht="12.75">
      <c r="A50" s="76">
        <v>6</v>
      </c>
      <c r="B50" s="78" t="s">
        <v>90</v>
      </c>
      <c r="C50" s="78" t="s">
        <v>65</v>
      </c>
      <c r="D50" s="49">
        <v>3.4</v>
      </c>
      <c r="E50" s="109">
        <v>-0.1</v>
      </c>
      <c r="G50" s="1"/>
    </row>
    <row r="51" spans="1:7" ht="12.75">
      <c r="A51" s="76">
        <v>7</v>
      </c>
      <c r="B51" s="20" t="s">
        <v>107</v>
      </c>
      <c r="C51" s="78" t="s">
        <v>65</v>
      </c>
      <c r="D51" s="49">
        <v>3.28</v>
      </c>
      <c r="E51" s="17" t="s">
        <v>158</v>
      </c>
      <c r="G51" s="1"/>
    </row>
    <row r="52" spans="1:7" ht="12.75">
      <c r="A52" s="76">
        <v>8</v>
      </c>
      <c r="B52" s="20" t="s">
        <v>91</v>
      </c>
      <c r="C52" s="78" t="s">
        <v>65</v>
      </c>
      <c r="D52" s="49">
        <v>3.09</v>
      </c>
      <c r="E52" s="17" t="s">
        <v>158</v>
      </c>
      <c r="G52" s="1"/>
    </row>
    <row r="53" spans="1:7" ht="26.25" customHeight="1">
      <c r="A53" s="57"/>
      <c r="B53" s="57" t="s">
        <v>73</v>
      </c>
      <c r="C53" s="58"/>
      <c r="D53" s="60"/>
      <c r="E53" s="64"/>
      <c r="G53" s="38"/>
    </row>
    <row r="54" spans="1:7" ht="12.75">
      <c r="A54" s="76">
        <v>1</v>
      </c>
      <c r="B54" s="20" t="s">
        <v>163</v>
      </c>
      <c r="C54" s="56" t="s">
        <v>57</v>
      </c>
      <c r="D54" s="49">
        <v>4.25</v>
      </c>
      <c r="E54" s="109">
        <v>1.1</v>
      </c>
      <c r="G54" s="1"/>
    </row>
    <row r="55" spans="1:7" ht="12.75">
      <c r="A55" s="76">
        <v>2</v>
      </c>
      <c r="B55" s="20" t="s">
        <v>81</v>
      </c>
      <c r="C55" s="56" t="s">
        <v>82</v>
      </c>
      <c r="D55" s="49">
        <v>3.74</v>
      </c>
      <c r="E55" s="109">
        <v>-0.1</v>
      </c>
      <c r="G55" s="1"/>
    </row>
    <row r="56" spans="1:7" ht="12.75">
      <c r="A56" s="76">
        <v>3</v>
      </c>
      <c r="B56" s="56" t="s">
        <v>93</v>
      </c>
      <c r="C56" s="78" t="s">
        <v>65</v>
      </c>
      <c r="D56" s="49">
        <v>3.74</v>
      </c>
      <c r="E56" s="109">
        <v>-0.6</v>
      </c>
      <c r="G56" s="1"/>
    </row>
    <row r="57" spans="1:7" ht="12.75">
      <c r="A57" s="76">
        <v>4</v>
      </c>
      <c r="B57" s="78" t="s">
        <v>61</v>
      </c>
      <c r="C57" s="78" t="s">
        <v>52</v>
      </c>
      <c r="D57" s="49">
        <v>3.71</v>
      </c>
      <c r="E57" s="109">
        <v>-0.4</v>
      </c>
      <c r="G57" s="1"/>
    </row>
    <row r="58" spans="1:7" ht="12.75">
      <c r="A58" s="76">
        <v>5</v>
      </c>
      <c r="B58" s="20" t="s">
        <v>119</v>
      </c>
      <c r="C58" s="56" t="s">
        <v>82</v>
      </c>
      <c r="D58" s="49">
        <v>3.67</v>
      </c>
      <c r="E58" s="109">
        <v>0.6</v>
      </c>
      <c r="G58" s="1"/>
    </row>
    <row r="59" spans="1:7" ht="12.75">
      <c r="A59" s="76">
        <v>6</v>
      </c>
      <c r="B59" s="20" t="s">
        <v>103</v>
      </c>
      <c r="C59" s="78" t="s">
        <v>57</v>
      </c>
      <c r="D59" s="49">
        <v>3.61</v>
      </c>
      <c r="E59" s="109">
        <v>-1</v>
      </c>
      <c r="G59" s="1"/>
    </row>
  </sheetData>
  <sheetProtection password="C67C"/>
  <printOptions horizontalCentered="1"/>
  <pageMargins left="0.5511811023622047" right="0.3937007874015748" top="0.2362204724409449" bottom="0.21" header="0.84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Olav Viste</dc:creator>
  <cp:keywords/>
  <dc:description/>
  <cp:lastModifiedBy>Jon Olav Viste</cp:lastModifiedBy>
  <cp:lastPrinted>2008-08-28T18:25:58Z</cp:lastPrinted>
  <dcterms:created xsi:type="dcterms:W3CDTF">2000-05-26T14:31:34Z</dcterms:created>
  <dcterms:modified xsi:type="dcterms:W3CDTF">2008-09-05T18:09:35Z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645597816</vt:i4>
  </property>
  <property fmtid="{D5CDD505-2E9C-101B-9397-08002B2CF9AE}" pid="3" name="_EmailSubject">
    <vt:lpwstr>KM_2005.xls</vt:lpwstr>
  </property>
  <property fmtid="{D5CDD505-2E9C-101B-9397-08002B2CF9AE}" pid="4" name="_AuthorEmail">
    <vt:lpwstr>jon.o.viste@nibr.no</vt:lpwstr>
  </property>
  <property fmtid="{D5CDD505-2E9C-101B-9397-08002B2CF9AE}" pid="5" name="_AuthorEmailDisplayName">
    <vt:lpwstr>Jon Olav Viste</vt:lpwstr>
  </property>
  <property fmtid="{D5CDD505-2E9C-101B-9397-08002B2CF9AE}" pid="6" name="_PreviousAdHocReviewCycleID">
    <vt:i4>-333747610</vt:i4>
  </property>
  <property fmtid="{D5CDD505-2E9C-101B-9397-08002B2CF9AE}" pid="7" name="_ReviewingToolsShownOnce">
    <vt:lpwstr/>
  </property>
</Properties>
</file>